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pivotTables/pivotTable3.xml" ContentType="application/vnd.openxmlformats-officedocument.spreadsheetml.pivotTable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pivotTables/pivotTable4.xml" ContentType="application/vnd.openxmlformats-officedocument.spreadsheetml.pivotTable+xml"/>
  <Override PartName="/xl/drawings/drawing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pivotTables/pivotTable5.xml" ContentType="application/vnd.openxmlformats-officedocument.spreadsheetml.pivotTable+xml"/>
  <Override PartName="/xl/drawings/drawing6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pivotTables/pivotTable6.xml" ContentType="application/vnd.openxmlformats-officedocument.spreadsheetml.pivotTable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drawings/drawing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pivotTables/pivotTable9.xml" ContentType="application/vnd.openxmlformats-officedocument.spreadsheetml.pivotTable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0.xml" ContentType="application/vnd.openxmlformats-officedocument.drawing+xml"/>
  <Override PartName="/xl/tables/table1.xml" ContentType="application/vnd.openxmlformats-officedocument.spreadsheetml.tab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1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12.xml" ContentType="application/vnd.openxmlformats-officedocument.drawing+xml"/>
  <Override PartName="/xl/tables/table2.xml" ContentType="application/vnd.openxmlformats-officedocument.spreadsheetml.tab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stani\Desktop\Webapp\st_zagora\"/>
    </mc:Choice>
  </mc:AlternateContent>
  <xr:revisionPtr revIDLastSave="0" documentId="8_{076FDEA1-00BE-4C5C-9149-B3387C846468}" xr6:coauthVersionLast="47" xr6:coauthVersionMax="47" xr10:uidLastSave="{00000000-0000-0000-0000-000000000000}"/>
  <bookViews>
    <workbookView xWindow="1820" yWindow="1820" windowWidth="14400" windowHeight="7360" firstSheet="6" activeTab="10" xr2:uid="{00000000-000D-0000-FFFF-FFFF00000000}"/>
  </bookViews>
  <sheets>
    <sheet name="Dashboard" sheetId="8" r:id="rId1"/>
    <sheet name="Annual income" sheetId="2" r:id="rId2"/>
    <sheet name="Mounth income" sheetId="4" r:id="rId3"/>
    <sheet name="Product cost_liter" sheetId="6" r:id="rId4"/>
    <sheet name="Milk_feed" sheetId="7" r:id="rId5"/>
    <sheet name="Profit_income" sheetId="13" r:id="rId6"/>
    <sheet name="Profit_liter" sheetId="16" r:id="rId7"/>
    <sheet name="Лист4" sheetId="17" r:id="rId8"/>
    <sheet name="avg_profit_liter" sheetId="19" r:id="rId9"/>
    <sheet name="Price" sheetId="22" r:id="rId10"/>
    <sheet name="RawData" sheetId="1" r:id="rId11"/>
    <sheet name="Лист2" sheetId="10" r:id="rId12"/>
    <sheet name="Correlation" sheetId="14" r:id="rId13"/>
  </sheets>
  <externalReferences>
    <externalReference r:id="rId14"/>
    <externalReference r:id="rId15"/>
  </externalReferences>
  <definedNames>
    <definedName name="_xlnm._FilterDatabase" localSheetId="10" hidden="1">RawData!$AK$1:$AO$37</definedName>
    <definedName name="Сегментатор_Години">#N/A</definedName>
    <definedName name="Сегментатор_Тримесечия">#N/A</definedName>
  </definedNames>
  <calcPr calcId="191029"/>
  <pivotCaches>
    <pivotCache cacheId="0" r:id="rId16"/>
  </pivotCaches>
  <fileRecoveryPr repairLoad="1"/>
  <extLst>
    <ext xmlns:x14="http://schemas.microsoft.com/office/spreadsheetml/2009/9/main" uri="{BBE1A952-AA13-448e-AADC-164F8A28A991}">
      <x14:slicerCaches>
        <x14:slicerCache r:id="rId17"/>
        <x14:slicerCache r:id="rId18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2" i="1" l="1"/>
  <c r="AJ38" i="1"/>
  <c r="K7" i="16"/>
  <c r="K5" i="16"/>
  <c r="K6" i="16"/>
  <c r="K4" i="16"/>
  <c r="AK41" i="1"/>
  <c r="AK46" i="1" l="1"/>
  <c r="AG42" i="1"/>
  <c r="AG47" i="1" s="1"/>
  <c r="AH42" i="1"/>
  <c r="AH47" i="1" s="1"/>
  <c r="AI42" i="1"/>
  <c r="AI47" i="1" s="1"/>
  <c r="AJ42" i="1"/>
  <c r="AJ47" i="1" s="1"/>
  <c r="AC53" i="1"/>
  <c r="AD53" i="1"/>
  <c r="AE53" i="1"/>
  <c r="AG53" i="1"/>
  <c r="AH53" i="1"/>
  <c r="AI53" i="1"/>
  <c r="AJ53" i="1"/>
  <c r="AK52" i="1"/>
  <c r="AC52" i="1"/>
  <c r="AD52" i="1"/>
  <c r="AE52" i="1"/>
  <c r="AG52" i="1"/>
  <c r="AH52" i="1"/>
  <c r="AI52" i="1"/>
  <c r="AJ52" i="1"/>
  <c r="B56" i="14" l="1"/>
  <c r="W54" i="14"/>
  <c r="S54" i="14"/>
  <c r="R54" i="14"/>
  <c r="Q54" i="14"/>
  <c r="P54" i="14"/>
  <c r="O54" i="14"/>
  <c r="N54" i="14"/>
  <c r="M54" i="14"/>
  <c r="L54" i="14"/>
  <c r="K54" i="14"/>
  <c r="J54" i="14"/>
  <c r="I54" i="14"/>
  <c r="H54" i="14"/>
  <c r="G54" i="14"/>
  <c r="E54" i="14"/>
  <c r="D54" i="14"/>
  <c r="C54" i="14"/>
  <c r="B54" i="14"/>
  <c r="W53" i="14"/>
  <c r="S53" i="14"/>
  <c r="R53" i="14"/>
  <c r="Q53" i="14"/>
  <c r="P53" i="14"/>
  <c r="O53" i="14"/>
  <c r="N53" i="14"/>
  <c r="M53" i="14"/>
  <c r="L53" i="14"/>
  <c r="K53" i="14"/>
  <c r="J53" i="14"/>
  <c r="I53" i="14"/>
  <c r="H53" i="14"/>
  <c r="G53" i="14"/>
  <c r="E53" i="14"/>
  <c r="D53" i="14"/>
  <c r="C53" i="14"/>
  <c r="B53" i="14"/>
  <c r="W52" i="14"/>
  <c r="S52" i="14"/>
  <c r="R52" i="14"/>
  <c r="Q52" i="14"/>
  <c r="P52" i="14"/>
  <c r="O52" i="14"/>
  <c r="N52" i="14"/>
  <c r="M52" i="14"/>
  <c r="L52" i="14"/>
  <c r="K52" i="14"/>
  <c r="J52" i="14"/>
  <c r="I52" i="14"/>
  <c r="H52" i="14"/>
  <c r="G52" i="14"/>
  <c r="E52" i="14"/>
  <c r="D52" i="14"/>
  <c r="C52" i="14"/>
  <c r="B52" i="14"/>
  <c r="W51" i="14"/>
  <c r="S51" i="14"/>
  <c r="R51" i="14"/>
  <c r="Q51" i="14"/>
  <c r="P51" i="14"/>
  <c r="O51" i="14"/>
  <c r="N51" i="14"/>
  <c r="M51" i="14"/>
  <c r="L51" i="14"/>
  <c r="K51" i="14"/>
  <c r="J51" i="14"/>
  <c r="I51" i="14"/>
  <c r="H51" i="14"/>
  <c r="G51" i="14"/>
  <c r="E51" i="14"/>
  <c r="D51" i="14"/>
  <c r="C51" i="14"/>
  <c r="B51" i="14"/>
  <c r="W43" i="14"/>
  <c r="S43" i="14"/>
  <c r="R43" i="14"/>
  <c r="Q43" i="14"/>
  <c r="P43" i="14"/>
  <c r="O43" i="14"/>
  <c r="N43" i="14"/>
  <c r="M43" i="14"/>
  <c r="L43" i="14"/>
  <c r="K43" i="14"/>
  <c r="J43" i="14"/>
  <c r="I43" i="14"/>
  <c r="H43" i="14"/>
  <c r="G43" i="14"/>
  <c r="E43" i="14"/>
  <c r="D43" i="14"/>
  <c r="C43" i="14"/>
  <c r="B43" i="14"/>
  <c r="W42" i="14"/>
  <c r="S42" i="14"/>
  <c r="R42" i="14"/>
  <c r="Q42" i="14"/>
  <c r="P42" i="14"/>
  <c r="O42" i="14"/>
  <c r="N42" i="14"/>
  <c r="M42" i="14"/>
  <c r="L42" i="14"/>
  <c r="K42" i="14"/>
  <c r="J42" i="14"/>
  <c r="I42" i="14"/>
  <c r="H42" i="14"/>
  <c r="G42" i="14"/>
  <c r="E42" i="14"/>
  <c r="D42" i="14"/>
  <c r="C42" i="14"/>
  <c r="B42" i="14"/>
  <c r="W41" i="14"/>
  <c r="S41" i="14"/>
  <c r="R41" i="14"/>
  <c r="Q41" i="14"/>
  <c r="Q46" i="14" s="1"/>
  <c r="Q47" i="14" s="1"/>
  <c r="Q48" i="14" s="1"/>
  <c r="P41" i="14"/>
  <c r="O41" i="14"/>
  <c r="N41" i="14"/>
  <c r="M41" i="14"/>
  <c r="L41" i="14"/>
  <c r="L46" i="14" s="1"/>
  <c r="L47" i="14" s="1"/>
  <c r="L48" i="14" s="1"/>
  <c r="K41" i="14"/>
  <c r="K46" i="14" s="1"/>
  <c r="K47" i="14" s="1"/>
  <c r="K48" i="14" s="1"/>
  <c r="J41" i="14"/>
  <c r="I41" i="14"/>
  <c r="I46" i="14" s="1"/>
  <c r="I47" i="14" s="1"/>
  <c r="I48" i="14" s="1"/>
  <c r="H41" i="14"/>
  <c r="H46" i="14" s="1"/>
  <c r="H47" i="14" s="1"/>
  <c r="H48" i="14" s="1"/>
  <c r="G41" i="14"/>
  <c r="G46" i="14" s="1"/>
  <c r="G47" i="14" s="1"/>
  <c r="G48" i="14" s="1"/>
  <c r="E41" i="14"/>
  <c r="D41" i="14"/>
  <c r="C41" i="14"/>
  <c r="C46" i="14" s="1"/>
  <c r="C47" i="14" s="1"/>
  <c r="C48" i="14" s="1"/>
  <c r="B41" i="14"/>
  <c r="Y37" i="14"/>
  <c r="V37" i="14"/>
  <c r="X37" i="14" s="1"/>
  <c r="T37" i="14"/>
  <c r="F37" i="14"/>
  <c r="Y36" i="14"/>
  <c r="V36" i="14"/>
  <c r="X36" i="14" s="1"/>
  <c r="T36" i="14"/>
  <c r="F36" i="14"/>
  <c r="Y35" i="14"/>
  <c r="V35" i="14"/>
  <c r="X35" i="14" s="1"/>
  <c r="T35" i="14"/>
  <c r="F35" i="14"/>
  <c r="Y34" i="14"/>
  <c r="V34" i="14"/>
  <c r="X34" i="14" s="1"/>
  <c r="T34" i="14"/>
  <c r="F34" i="14"/>
  <c r="Y33" i="14"/>
  <c r="V33" i="14"/>
  <c r="X33" i="14" s="1"/>
  <c r="T33" i="14"/>
  <c r="F33" i="14"/>
  <c r="Y32" i="14"/>
  <c r="V32" i="14"/>
  <c r="X32" i="14" s="1"/>
  <c r="T32" i="14"/>
  <c r="F32" i="14"/>
  <c r="Y31" i="14"/>
  <c r="V31" i="14"/>
  <c r="X31" i="14" s="1"/>
  <c r="T31" i="14"/>
  <c r="F31" i="14"/>
  <c r="Y30" i="14"/>
  <c r="V30" i="14"/>
  <c r="X30" i="14" s="1"/>
  <c r="T30" i="14"/>
  <c r="F30" i="14"/>
  <c r="Y29" i="14"/>
  <c r="V29" i="14"/>
  <c r="X29" i="14" s="1"/>
  <c r="T29" i="14"/>
  <c r="F29" i="14"/>
  <c r="Y28" i="14"/>
  <c r="V28" i="14"/>
  <c r="X28" i="14" s="1"/>
  <c r="T28" i="14"/>
  <c r="F28" i="14"/>
  <c r="Y27" i="14"/>
  <c r="V27" i="14"/>
  <c r="X27" i="14" s="1"/>
  <c r="T27" i="14"/>
  <c r="F27" i="14"/>
  <c r="Y26" i="14"/>
  <c r="V26" i="14"/>
  <c r="X26" i="14" s="1"/>
  <c r="T26" i="14"/>
  <c r="F26" i="14"/>
  <c r="Y25" i="14"/>
  <c r="V25" i="14"/>
  <c r="X25" i="14" s="1"/>
  <c r="T25" i="14"/>
  <c r="F25" i="14"/>
  <c r="Y24" i="14"/>
  <c r="V24" i="14"/>
  <c r="X24" i="14" s="1"/>
  <c r="T24" i="14"/>
  <c r="F24" i="14"/>
  <c r="Y23" i="14"/>
  <c r="V23" i="14"/>
  <c r="X23" i="14" s="1"/>
  <c r="T23" i="14"/>
  <c r="F23" i="14"/>
  <c r="Y22" i="14"/>
  <c r="V22" i="14"/>
  <c r="X22" i="14" s="1"/>
  <c r="T22" i="14"/>
  <c r="F22" i="14"/>
  <c r="Y21" i="14"/>
  <c r="V21" i="14"/>
  <c r="X21" i="14" s="1"/>
  <c r="T21" i="14"/>
  <c r="F21" i="14"/>
  <c r="Y20" i="14"/>
  <c r="V20" i="14"/>
  <c r="X20" i="14" s="1"/>
  <c r="T20" i="14"/>
  <c r="F20" i="14"/>
  <c r="Y19" i="14"/>
  <c r="V19" i="14"/>
  <c r="X19" i="14" s="1"/>
  <c r="T19" i="14"/>
  <c r="F19" i="14"/>
  <c r="Y18" i="14"/>
  <c r="V18" i="14"/>
  <c r="X18" i="14" s="1"/>
  <c r="T18" i="14"/>
  <c r="F18" i="14"/>
  <c r="Y17" i="14"/>
  <c r="V17" i="14"/>
  <c r="X17" i="14" s="1"/>
  <c r="T17" i="14"/>
  <c r="F17" i="14"/>
  <c r="Y16" i="14"/>
  <c r="V16" i="14"/>
  <c r="X16" i="14" s="1"/>
  <c r="T16" i="14"/>
  <c r="F16" i="14"/>
  <c r="Y15" i="14"/>
  <c r="V15" i="14"/>
  <c r="X15" i="14" s="1"/>
  <c r="T15" i="14"/>
  <c r="F15" i="14"/>
  <c r="Y14" i="14"/>
  <c r="V14" i="14"/>
  <c r="X14" i="14" s="1"/>
  <c r="T14" i="14"/>
  <c r="F14" i="14"/>
  <c r="Y13" i="14"/>
  <c r="V13" i="14"/>
  <c r="X13" i="14" s="1"/>
  <c r="T13" i="14"/>
  <c r="F13" i="14"/>
  <c r="Y12" i="14"/>
  <c r="V12" i="14"/>
  <c r="X12" i="14" s="1"/>
  <c r="T12" i="14"/>
  <c r="F12" i="14"/>
  <c r="Y11" i="14"/>
  <c r="V11" i="14"/>
  <c r="X11" i="14" s="1"/>
  <c r="T11" i="14"/>
  <c r="F11" i="14"/>
  <c r="Y10" i="14"/>
  <c r="V10" i="14"/>
  <c r="X10" i="14" s="1"/>
  <c r="T10" i="14"/>
  <c r="F10" i="14"/>
  <c r="Y9" i="14"/>
  <c r="V9" i="14"/>
  <c r="X9" i="14" s="1"/>
  <c r="T9" i="14"/>
  <c r="F9" i="14"/>
  <c r="Y8" i="14"/>
  <c r="V8" i="14"/>
  <c r="X8" i="14" s="1"/>
  <c r="T8" i="14"/>
  <c r="F8" i="14"/>
  <c r="U8" i="14" s="1"/>
  <c r="Z8" i="14" s="1"/>
  <c r="Y7" i="14"/>
  <c r="V7" i="14"/>
  <c r="X7" i="14" s="1"/>
  <c r="T7" i="14"/>
  <c r="F7" i="14"/>
  <c r="U7" i="14" s="1"/>
  <c r="Z7" i="14" s="1"/>
  <c r="Y6" i="14"/>
  <c r="V6" i="14"/>
  <c r="X6" i="14" s="1"/>
  <c r="T6" i="14"/>
  <c r="F6" i="14"/>
  <c r="Y5" i="14"/>
  <c r="V5" i="14"/>
  <c r="X5" i="14" s="1"/>
  <c r="T5" i="14"/>
  <c r="F5" i="14"/>
  <c r="Y4" i="14"/>
  <c r="V4" i="14"/>
  <c r="X4" i="14" s="1"/>
  <c r="T4" i="14"/>
  <c r="F4" i="14"/>
  <c r="Y3" i="14"/>
  <c r="V3" i="14"/>
  <c r="X3" i="14" s="1"/>
  <c r="T3" i="14"/>
  <c r="F3" i="14"/>
  <c r="Y2" i="14"/>
  <c r="V2" i="14"/>
  <c r="X2" i="14" s="1"/>
  <c r="T2" i="14"/>
  <c r="F2" i="14"/>
  <c r="S46" i="14" l="1"/>
  <c r="S47" i="14" s="1"/>
  <c r="S48" i="14" s="1"/>
  <c r="W46" i="14"/>
  <c r="W47" i="14" s="1"/>
  <c r="W48" i="14" s="1"/>
  <c r="M46" i="14"/>
  <c r="M47" i="14" s="1"/>
  <c r="M48" i="14" s="1"/>
  <c r="E46" i="14"/>
  <c r="E47" i="14" s="1"/>
  <c r="E48" i="14" s="1"/>
  <c r="O46" i="14"/>
  <c r="O47" i="14" s="1"/>
  <c r="O48" i="14" s="1"/>
  <c r="P46" i="14"/>
  <c r="P47" i="14" s="1"/>
  <c r="P48" i="14" s="1"/>
  <c r="U23" i="14"/>
  <c r="Z23" i="14" s="1"/>
  <c r="U24" i="14"/>
  <c r="Z24" i="14" s="1"/>
  <c r="U15" i="14"/>
  <c r="Z15" i="14" s="1"/>
  <c r="U16" i="14"/>
  <c r="Z16" i="14" s="1"/>
  <c r="U31" i="14"/>
  <c r="Z31" i="14" s="1"/>
  <c r="U32" i="14"/>
  <c r="Z32" i="14" s="1"/>
  <c r="T53" i="14"/>
  <c r="U3" i="14"/>
  <c r="Z3" i="14" s="1"/>
  <c r="U11" i="14"/>
  <c r="Z11" i="14" s="1"/>
  <c r="U12" i="14"/>
  <c r="Z12" i="14" s="1"/>
  <c r="U19" i="14"/>
  <c r="Z19" i="14" s="1"/>
  <c r="U20" i="14"/>
  <c r="Z20" i="14" s="1"/>
  <c r="U27" i="14"/>
  <c r="Z27" i="14" s="1"/>
  <c r="U28" i="14"/>
  <c r="Z28" i="14" s="1"/>
  <c r="U35" i="14"/>
  <c r="Z35" i="14" s="1"/>
  <c r="U36" i="14"/>
  <c r="Z36" i="14" s="1"/>
  <c r="F42" i="14"/>
  <c r="T42" i="14"/>
  <c r="V54" i="14"/>
  <c r="U6" i="14"/>
  <c r="Z6" i="14" s="1"/>
  <c r="U10" i="14"/>
  <c r="Z10" i="14" s="1"/>
  <c r="U14" i="14"/>
  <c r="Z14" i="14" s="1"/>
  <c r="U18" i="14"/>
  <c r="Z18" i="14" s="1"/>
  <c r="U22" i="14"/>
  <c r="Z22" i="14" s="1"/>
  <c r="U26" i="14"/>
  <c r="Z26" i="14" s="1"/>
  <c r="U30" i="14"/>
  <c r="Z30" i="14" s="1"/>
  <c r="U34" i="14"/>
  <c r="Z34" i="14" s="1"/>
  <c r="J46" i="14"/>
  <c r="J47" i="14" s="1"/>
  <c r="J48" i="14" s="1"/>
  <c r="N46" i="14"/>
  <c r="N47" i="14" s="1"/>
  <c r="N48" i="14" s="1"/>
  <c r="R46" i="14"/>
  <c r="R47" i="14" s="1"/>
  <c r="R48" i="14" s="1"/>
  <c r="X53" i="14"/>
  <c r="Y41" i="14"/>
  <c r="B46" i="14"/>
  <c r="B47" i="14" s="1"/>
  <c r="B48" i="14" s="1"/>
  <c r="U4" i="14"/>
  <c r="Z4" i="14" s="1"/>
  <c r="V41" i="14"/>
  <c r="X41" i="14"/>
  <c r="V53" i="14"/>
  <c r="F53" i="14"/>
  <c r="F51" i="14"/>
  <c r="F43" i="14"/>
  <c r="F41" i="14"/>
  <c r="F54" i="14"/>
  <c r="U2" i="14"/>
  <c r="X54" i="14"/>
  <c r="X52" i="14"/>
  <c r="X42" i="14"/>
  <c r="T54" i="14"/>
  <c r="Y53" i="14"/>
  <c r="U5" i="14"/>
  <c r="Z5" i="14" s="1"/>
  <c r="U9" i="14"/>
  <c r="Z9" i="14" s="1"/>
  <c r="U13" i="14"/>
  <c r="Z13" i="14" s="1"/>
  <c r="U17" i="14"/>
  <c r="Z17" i="14" s="1"/>
  <c r="D46" i="14"/>
  <c r="D47" i="14" s="1"/>
  <c r="D48" i="14" s="1"/>
  <c r="V43" i="14"/>
  <c r="X43" i="14"/>
  <c r="Y43" i="14"/>
  <c r="V51" i="14"/>
  <c r="X51" i="14"/>
  <c r="Y51" i="14"/>
  <c r="F52" i="14"/>
  <c r="T52" i="14"/>
  <c r="Y57" i="14"/>
  <c r="U21" i="14"/>
  <c r="Z21" i="14" s="1"/>
  <c r="U25" i="14"/>
  <c r="Z25" i="14" s="1"/>
  <c r="U29" i="14"/>
  <c r="Z29" i="14" s="1"/>
  <c r="U33" i="14"/>
  <c r="Z33" i="14" s="1"/>
  <c r="U37" i="14"/>
  <c r="Z37" i="14" s="1"/>
  <c r="T41" i="14"/>
  <c r="V42" i="14"/>
  <c r="Y42" i="14"/>
  <c r="Y46" i="14" s="1"/>
  <c r="Y47" i="14" s="1"/>
  <c r="Y48" i="14" s="1"/>
  <c r="T43" i="14"/>
  <c r="T51" i="14"/>
  <c r="V52" i="14"/>
  <c r="Y52" i="14"/>
  <c r="Y54" i="14"/>
  <c r="Y55" i="14"/>
  <c r="Y56" i="14" s="1"/>
  <c r="Y60" i="14"/>
  <c r="Y58" i="10"/>
  <c r="Z58" i="10"/>
  <c r="AA58" i="10"/>
  <c r="Y57" i="10"/>
  <c r="Z57" i="10"/>
  <c r="AA57" i="10"/>
  <c r="C55" i="10"/>
  <c r="D55" i="10"/>
  <c r="E55" i="10"/>
  <c r="G55" i="10"/>
  <c r="H55" i="10"/>
  <c r="I55" i="10"/>
  <c r="J55" i="10"/>
  <c r="K55" i="10"/>
  <c r="L55" i="10"/>
  <c r="M55" i="10"/>
  <c r="N55" i="10"/>
  <c r="O55" i="10"/>
  <c r="P55" i="10"/>
  <c r="Q55" i="10"/>
  <c r="R55" i="10"/>
  <c r="S55" i="10"/>
  <c r="W55" i="10"/>
  <c r="Y55" i="10"/>
  <c r="Z55" i="10"/>
  <c r="AA55" i="10"/>
  <c r="AC55" i="10"/>
  <c r="AD55" i="10"/>
  <c r="AE55" i="10"/>
  <c r="AF55" i="10"/>
  <c r="AG55" i="10"/>
  <c r="AI55" i="10"/>
  <c r="AJ55" i="10"/>
  <c r="B56" i="10"/>
  <c r="B55" i="10"/>
  <c r="AF54" i="10"/>
  <c r="AF53" i="10"/>
  <c r="AF52" i="10"/>
  <c r="AF51" i="10"/>
  <c r="AF43" i="10"/>
  <c r="AF42" i="10"/>
  <c r="AF41" i="10"/>
  <c r="B41" i="10"/>
  <c r="B42" i="10"/>
  <c r="AE54" i="10"/>
  <c r="AD54" i="10"/>
  <c r="AC54" i="10"/>
  <c r="AA54" i="10"/>
  <c r="Z54" i="10"/>
  <c r="Y54" i="10"/>
  <c r="W54" i="10"/>
  <c r="S54" i="10"/>
  <c r="R54" i="10"/>
  <c r="Q54" i="10"/>
  <c r="P54" i="10"/>
  <c r="O54" i="10"/>
  <c r="N54" i="10"/>
  <c r="M54" i="10"/>
  <c r="L54" i="10"/>
  <c r="K54" i="10"/>
  <c r="J54" i="10"/>
  <c r="I54" i="10"/>
  <c r="H54" i="10"/>
  <c r="G54" i="10"/>
  <c r="E54" i="10"/>
  <c r="D54" i="10"/>
  <c r="C54" i="10"/>
  <c r="B54" i="10"/>
  <c r="AE53" i="10"/>
  <c r="AD53" i="10"/>
  <c r="AC53" i="10"/>
  <c r="AA53" i="10"/>
  <c r="Z53" i="10"/>
  <c r="Y53" i="10"/>
  <c r="W53" i="10"/>
  <c r="S53" i="10"/>
  <c r="R53" i="10"/>
  <c r="Q53" i="10"/>
  <c r="P53" i="10"/>
  <c r="O53" i="10"/>
  <c r="N53" i="10"/>
  <c r="M53" i="10"/>
  <c r="L53" i="10"/>
  <c r="K53" i="10"/>
  <c r="J53" i="10"/>
  <c r="I53" i="10"/>
  <c r="H53" i="10"/>
  <c r="G53" i="10"/>
  <c r="E53" i="10"/>
  <c r="D53" i="10"/>
  <c r="C53" i="10"/>
  <c r="B53" i="10"/>
  <c r="AE52" i="10"/>
  <c r="AD52" i="10"/>
  <c r="AC52" i="10"/>
  <c r="AA52" i="10"/>
  <c r="Z52" i="10"/>
  <c r="Y52" i="10"/>
  <c r="W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G52" i="10"/>
  <c r="E52" i="10"/>
  <c r="D52" i="10"/>
  <c r="C52" i="10"/>
  <c r="B52" i="10"/>
  <c r="AE51" i="10"/>
  <c r="AD51" i="10"/>
  <c r="AC51" i="10"/>
  <c r="AA51" i="10"/>
  <c r="Z51" i="10"/>
  <c r="Y51" i="10"/>
  <c r="W51" i="10"/>
  <c r="S51" i="10"/>
  <c r="R51" i="10"/>
  <c r="Q51" i="10"/>
  <c r="P51" i="10"/>
  <c r="O51" i="10"/>
  <c r="N51" i="10"/>
  <c r="M51" i="10"/>
  <c r="L51" i="10"/>
  <c r="K51" i="10"/>
  <c r="J51" i="10"/>
  <c r="I51" i="10"/>
  <c r="H51" i="10"/>
  <c r="G51" i="10"/>
  <c r="E51" i="10"/>
  <c r="D51" i="10"/>
  <c r="C51" i="10"/>
  <c r="B51" i="10"/>
  <c r="AE43" i="10"/>
  <c r="AD43" i="10"/>
  <c r="AC43" i="10"/>
  <c r="AA43" i="10"/>
  <c r="Z43" i="10"/>
  <c r="Y43" i="10"/>
  <c r="W43" i="10"/>
  <c r="S43" i="10"/>
  <c r="R43" i="10"/>
  <c r="Q43" i="10"/>
  <c r="P43" i="10"/>
  <c r="O43" i="10"/>
  <c r="N43" i="10"/>
  <c r="M43" i="10"/>
  <c r="L43" i="10"/>
  <c r="K43" i="10"/>
  <c r="J43" i="10"/>
  <c r="I43" i="10"/>
  <c r="H43" i="10"/>
  <c r="G43" i="10"/>
  <c r="E43" i="10"/>
  <c r="D43" i="10"/>
  <c r="C43" i="10"/>
  <c r="B43" i="10"/>
  <c r="AE42" i="10"/>
  <c r="AD42" i="10"/>
  <c r="AC42" i="10"/>
  <c r="AA42" i="10"/>
  <c r="Z42" i="10"/>
  <c r="Y42" i="10"/>
  <c r="W42" i="10"/>
  <c r="S42" i="10"/>
  <c r="R42" i="10"/>
  <c r="Q42" i="10"/>
  <c r="P42" i="10"/>
  <c r="O42" i="10"/>
  <c r="N42" i="10"/>
  <c r="M42" i="10"/>
  <c r="L42" i="10"/>
  <c r="K42" i="10"/>
  <c r="J42" i="10"/>
  <c r="I42" i="10"/>
  <c r="H42" i="10"/>
  <c r="G42" i="10"/>
  <c r="E42" i="10"/>
  <c r="D42" i="10"/>
  <c r="C42" i="10"/>
  <c r="AE41" i="10"/>
  <c r="AD41" i="10"/>
  <c r="AC41" i="10"/>
  <c r="AA41" i="10"/>
  <c r="Z41" i="10"/>
  <c r="Y41" i="10"/>
  <c r="W41" i="10"/>
  <c r="S41" i="10"/>
  <c r="R41" i="10"/>
  <c r="Q41" i="10"/>
  <c r="P41" i="10"/>
  <c r="O41" i="10"/>
  <c r="N41" i="10"/>
  <c r="M41" i="10"/>
  <c r="L41" i="10"/>
  <c r="K41" i="10"/>
  <c r="J41" i="10"/>
  <c r="I41" i="10"/>
  <c r="H41" i="10"/>
  <c r="G41" i="10"/>
  <c r="E41" i="10"/>
  <c r="D41" i="10"/>
  <c r="C41" i="10"/>
  <c r="AK9" i="10"/>
  <c r="AK25" i="10"/>
  <c r="AH3" i="10"/>
  <c r="AH5" i="10"/>
  <c r="AH7" i="10"/>
  <c r="AH8" i="10"/>
  <c r="AH15" i="10"/>
  <c r="AH16" i="10"/>
  <c r="AH19" i="10"/>
  <c r="AH21" i="10"/>
  <c r="AH23" i="10"/>
  <c r="AH24" i="10"/>
  <c r="AH31" i="10"/>
  <c r="AH32" i="10"/>
  <c r="AH35" i="10"/>
  <c r="AH37" i="10"/>
  <c r="W3" i="10"/>
  <c r="AI3" i="10" s="1"/>
  <c r="W9" i="10"/>
  <c r="AI9" i="10" s="1"/>
  <c r="W12" i="10"/>
  <c r="AI12" i="10" s="1"/>
  <c r="W19" i="10"/>
  <c r="AI19" i="10" s="1"/>
  <c r="W25" i="10"/>
  <c r="AI25" i="10" s="1"/>
  <c r="W28" i="10"/>
  <c r="AI28" i="10" s="1"/>
  <c r="W35" i="10"/>
  <c r="AI35" i="10" s="1"/>
  <c r="AG7" i="10"/>
  <c r="AG13" i="10"/>
  <c r="AG16" i="10"/>
  <c r="AG19" i="10"/>
  <c r="AG23" i="10"/>
  <c r="AG29" i="10"/>
  <c r="AG32" i="10"/>
  <c r="AG35" i="10"/>
  <c r="C55" i="1"/>
  <c r="D55" i="1"/>
  <c r="E55" i="1"/>
  <c r="G55" i="1"/>
  <c r="H55" i="1"/>
  <c r="I55" i="1"/>
  <c r="J55" i="1"/>
  <c r="K55" i="1"/>
  <c r="L55" i="1"/>
  <c r="M55" i="1"/>
  <c r="N55" i="1"/>
  <c r="O55" i="1"/>
  <c r="P55" i="1"/>
  <c r="Q55" i="1"/>
  <c r="R55" i="1"/>
  <c r="S55" i="1"/>
  <c r="W55" i="1"/>
  <c r="Y55" i="1"/>
  <c r="Z55" i="1"/>
  <c r="AA55" i="1"/>
  <c r="AC55" i="1"/>
  <c r="AD55" i="1"/>
  <c r="AE55" i="1"/>
  <c r="B55" i="1"/>
  <c r="B57" i="1"/>
  <c r="C54" i="1"/>
  <c r="D54" i="1"/>
  <c r="E54" i="1"/>
  <c r="G54" i="1"/>
  <c r="H54" i="1"/>
  <c r="I54" i="1"/>
  <c r="J54" i="1"/>
  <c r="K54" i="1"/>
  <c r="L54" i="1"/>
  <c r="M54" i="1"/>
  <c r="N54" i="1"/>
  <c r="O54" i="1"/>
  <c r="P54" i="1"/>
  <c r="Q54" i="1"/>
  <c r="R54" i="1"/>
  <c r="S54" i="1"/>
  <c r="W54" i="1"/>
  <c r="Y54" i="1"/>
  <c r="Z54" i="1"/>
  <c r="AA54" i="1"/>
  <c r="AC54" i="1"/>
  <c r="AD54" i="1"/>
  <c r="AE54" i="1"/>
  <c r="C53" i="1"/>
  <c r="D53" i="1"/>
  <c r="E53" i="1"/>
  <c r="G53" i="1"/>
  <c r="H53" i="1"/>
  <c r="I53" i="1"/>
  <c r="J53" i="1"/>
  <c r="K53" i="1"/>
  <c r="L53" i="1"/>
  <c r="M53" i="1"/>
  <c r="N53" i="1"/>
  <c r="O53" i="1"/>
  <c r="P53" i="1"/>
  <c r="Q53" i="1"/>
  <c r="R53" i="1"/>
  <c r="S53" i="1"/>
  <c r="W53" i="1"/>
  <c r="Y53" i="1"/>
  <c r="Z53" i="1"/>
  <c r="AA53" i="1"/>
  <c r="C52" i="1"/>
  <c r="D52" i="1"/>
  <c r="E52" i="1"/>
  <c r="G52" i="1"/>
  <c r="H52" i="1"/>
  <c r="I52" i="1"/>
  <c r="J52" i="1"/>
  <c r="K52" i="1"/>
  <c r="L52" i="1"/>
  <c r="M52" i="1"/>
  <c r="N52" i="1"/>
  <c r="O52" i="1"/>
  <c r="P52" i="1"/>
  <c r="Q52" i="1"/>
  <c r="R52" i="1"/>
  <c r="S52" i="1"/>
  <c r="W52" i="1"/>
  <c r="Y52" i="1"/>
  <c r="Z52" i="1"/>
  <c r="AA52" i="1"/>
  <c r="B54" i="1"/>
  <c r="B53" i="1"/>
  <c r="B52" i="1"/>
  <c r="AC37" i="10"/>
  <c r="V37" i="10"/>
  <c r="Y37" i="10" s="1"/>
  <c r="T37" i="10"/>
  <c r="W37" i="10" s="1"/>
  <c r="AI37" i="10" s="1"/>
  <c r="F37" i="10"/>
  <c r="U37" i="10" s="1"/>
  <c r="AJ37" i="10" s="1"/>
  <c r="AC36" i="10"/>
  <c r="V36" i="10"/>
  <c r="AH36" i="10" s="1"/>
  <c r="T36" i="10"/>
  <c r="F36" i="10"/>
  <c r="AG36" i="10" s="1"/>
  <c r="AC35" i="10"/>
  <c r="V35" i="10"/>
  <c r="Y35" i="10" s="1"/>
  <c r="T35" i="10"/>
  <c r="F35" i="10"/>
  <c r="AC34" i="10"/>
  <c r="Y34" i="10"/>
  <c r="V34" i="10"/>
  <c r="AH34" i="10" s="1"/>
  <c r="T34" i="10"/>
  <c r="W34" i="10" s="1"/>
  <c r="AI34" i="10" s="1"/>
  <c r="F34" i="10"/>
  <c r="AG34" i="10" s="1"/>
  <c r="AC33" i="10"/>
  <c r="V33" i="10"/>
  <c r="Y33" i="10" s="1"/>
  <c r="T33" i="10"/>
  <c r="F33" i="10"/>
  <c r="U33" i="10" s="1"/>
  <c r="AK33" i="10" s="1"/>
  <c r="AC32" i="10"/>
  <c r="V32" i="10"/>
  <c r="Y32" i="10" s="1"/>
  <c r="T32" i="10"/>
  <c r="W32" i="10" s="1"/>
  <c r="AI32" i="10" s="1"/>
  <c r="F32" i="10"/>
  <c r="AC31" i="10"/>
  <c r="V31" i="10"/>
  <c r="Y31" i="10" s="1"/>
  <c r="T31" i="10"/>
  <c r="W31" i="10" s="1"/>
  <c r="AI31" i="10" s="1"/>
  <c r="F31" i="10"/>
  <c r="U31" i="10" s="1"/>
  <c r="AK31" i="10" s="1"/>
  <c r="AC30" i="10"/>
  <c r="V30" i="10"/>
  <c r="AH30" i="10" s="1"/>
  <c r="T30" i="10"/>
  <c r="F30" i="10"/>
  <c r="AG30" i="10" s="1"/>
  <c r="AC29" i="10"/>
  <c r="V29" i="10"/>
  <c r="Y29" i="10" s="1"/>
  <c r="T29" i="10"/>
  <c r="W29" i="10" s="1"/>
  <c r="AI29" i="10" s="1"/>
  <c r="F29" i="10"/>
  <c r="AC28" i="10"/>
  <c r="Y28" i="10"/>
  <c r="V28" i="10"/>
  <c r="AH28" i="10" s="1"/>
  <c r="T28" i="10"/>
  <c r="F28" i="10"/>
  <c r="AG28" i="10" s="1"/>
  <c r="AC27" i="10"/>
  <c r="V27" i="10"/>
  <c r="Y27" i="10" s="1"/>
  <c r="T27" i="10"/>
  <c r="F27" i="10"/>
  <c r="U27" i="10" s="1"/>
  <c r="AJ27" i="10" s="1"/>
  <c r="AC26" i="10"/>
  <c r="V26" i="10"/>
  <c r="Y26" i="10" s="1"/>
  <c r="T26" i="10"/>
  <c r="W26" i="10" s="1"/>
  <c r="AI26" i="10" s="1"/>
  <c r="F26" i="10"/>
  <c r="AG26" i="10" s="1"/>
  <c r="AC25" i="10"/>
  <c r="V25" i="10"/>
  <c r="Y25" i="10" s="1"/>
  <c r="T25" i="10"/>
  <c r="F25" i="10"/>
  <c r="U25" i="10" s="1"/>
  <c r="AJ25" i="10" s="1"/>
  <c r="AC24" i="10"/>
  <c r="Y24" i="10"/>
  <c r="V24" i="10"/>
  <c r="T24" i="10"/>
  <c r="W24" i="10" s="1"/>
  <c r="AI24" i="10" s="1"/>
  <c r="F24" i="10"/>
  <c r="AG24" i="10" s="1"/>
  <c r="AC23" i="10"/>
  <c r="V23" i="10"/>
  <c r="Y23" i="10" s="1"/>
  <c r="T23" i="10"/>
  <c r="W23" i="10" s="1"/>
  <c r="AI23" i="10" s="1"/>
  <c r="F23" i="10"/>
  <c r="AC22" i="10"/>
  <c r="V22" i="10"/>
  <c r="AH22" i="10" s="1"/>
  <c r="T22" i="10"/>
  <c r="W22" i="10" s="1"/>
  <c r="AI22" i="10" s="1"/>
  <c r="F22" i="10"/>
  <c r="AG22" i="10" s="1"/>
  <c r="AC21" i="10"/>
  <c r="V21" i="10"/>
  <c r="Y21" i="10" s="1"/>
  <c r="T21" i="10"/>
  <c r="W21" i="10" s="1"/>
  <c r="AI21" i="10" s="1"/>
  <c r="F21" i="10"/>
  <c r="U21" i="10" s="1"/>
  <c r="AJ21" i="10" s="1"/>
  <c r="AC20" i="10"/>
  <c r="V20" i="10"/>
  <c r="AH20" i="10" s="1"/>
  <c r="T20" i="10"/>
  <c r="F20" i="10"/>
  <c r="AG20" i="10" s="1"/>
  <c r="AC19" i="10"/>
  <c r="V19" i="10"/>
  <c r="Y19" i="10" s="1"/>
  <c r="T19" i="10"/>
  <c r="F19" i="10"/>
  <c r="AC18" i="10"/>
  <c r="Y18" i="10"/>
  <c r="V18" i="10"/>
  <c r="AH18" i="10" s="1"/>
  <c r="T18" i="10"/>
  <c r="W18" i="10" s="1"/>
  <c r="AI18" i="10" s="1"/>
  <c r="F18" i="10"/>
  <c r="AG18" i="10" s="1"/>
  <c r="AC17" i="10"/>
  <c r="V17" i="10"/>
  <c r="Y17" i="10" s="1"/>
  <c r="T17" i="10"/>
  <c r="F17" i="10"/>
  <c r="U17" i="10" s="1"/>
  <c r="AK17" i="10" s="1"/>
  <c r="AC16" i="10"/>
  <c r="V16" i="10"/>
  <c r="Y16" i="10" s="1"/>
  <c r="T16" i="10"/>
  <c r="W16" i="10" s="1"/>
  <c r="AI16" i="10" s="1"/>
  <c r="F16" i="10"/>
  <c r="AC15" i="10"/>
  <c r="V15" i="10"/>
  <c r="Y15" i="10" s="1"/>
  <c r="T15" i="10"/>
  <c r="W15" i="10" s="1"/>
  <c r="AI15" i="10" s="1"/>
  <c r="F15" i="10"/>
  <c r="U15" i="10" s="1"/>
  <c r="AK15" i="10" s="1"/>
  <c r="AC14" i="10"/>
  <c r="V14" i="10"/>
  <c r="AH14" i="10" s="1"/>
  <c r="T14" i="10"/>
  <c r="W14" i="10" s="1"/>
  <c r="AI14" i="10" s="1"/>
  <c r="F14" i="10"/>
  <c r="AG14" i="10" s="1"/>
  <c r="AC13" i="10"/>
  <c r="V13" i="10"/>
  <c r="Y13" i="10" s="1"/>
  <c r="T13" i="10"/>
  <c r="W13" i="10" s="1"/>
  <c r="AI13" i="10" s="1"/>
  <c r="F13" i="10"/>
  <c r="AC12" i="10"/>
  <c r="Y12" i="10"/>
  <c r="V12" i="10"/>
  <c r="AH12" i="10" s="1"/>
  <c r="T12" i="10"/>
  <c r="F12" i="10"/>
  <c r="AG12" i="10" s="1"/>
  <c r="AC11" i="10"/>
  <c r="V11" i="10"/>
  <c r="Y11" i="10" s="1"/>
  <c r="T11" i="10"/>
  <c r="F11" i="10"/>
  <c r="U11" i="10" s="1"/>
  <c r="AJ11" i="10" s="1"/>
  <c r="AC10" i="10"/>
  <c r="V10" i="10"/>
  <c r="Y10" i="10" s="1"/>
  <c r="T10" i="10"/>
  <c r="W10" i="10" s="1"/>
  <c r="AI10" i="10" s="1"/>
  <c r="F10" i="10"/>
  <c r="AG10" i="10" s="1"/>
  <c r="AC9" i="10"/>
  <c r="V9" i="10"/>
  <c r="Y9" i="10" s="1"/>
  <c r="T9" i="10"/>
  <c r="F9" i="10"/>
  <c r="U9" i="10" s="1"/>
  <c r="AJ9" i="10" s="1"/>
  <c r="AC8" i="10"/>
  <c r="Y8" i="10"/>
  <c r="V8" i="10"/>
  <c r="T8" i="10"/>
  <c r="W8" i="10" s="1"/>
  <c r="AI8" i="10" s="1"/>
  <c r="F8" i="10"/>
  <c r="AG8" i="10" s="1"/>
  <c r="AC7" i="10"/>
  <c r="V7" i="10"/>
  <c r="Y7" i="10" s="1"/>
  <c r="T7" i="10"/>
  <c r="W7" i="10" s="1"/>
  <c r="AI7" i="10" s="1"/>
  <c r="F7" i="10"/>
  <c r="AC6" i="10"/>
  <c r="V6" i="10"/>
  <c r="AH6" i="10" s="1"/>
  <c r="T6" i="10"/>
  <c r="W6" i="10" s="1"/>
  <c r="AI6" i="10" s="1"/>
  <c r="F6" i="10"/>
  <c r="AG6" i="10" s="1"/>
  <c r="AC5" i="10"/>
  <c r="V5" i="10"/>
  <c r="Y5" i="10" s="1"/>
  <c r="T5" i="10"/>
  <c r="W5" i="10" s="1"/>
  <c r="AI5" i="10" s="1"/>
  <c r="F5" i="10"/>
  <c r="U5" i="10" s="1"/>
  <c r="AJ5" i="10" s="1"/>
  <c r="AC4" i="10"/>
  <c r="V4" i="10"/>
  <c r="AH4" i="10" s="1"/>
  <c r="T4" i="10"/>
  <c r="F4" i="10"/>
  <c r="AG4" i="10" s="1"/>
  <c r="AC3" i="10"/>
  <c r="V3" i="10"/>
  <c r="Y3" i="10" s="1"/>
  <c r="T3" i="10"/>
  <c r="F3" i="10"/>
  <c r="AG3" i="10" s="1"/>
  <c r="AC2" i="10"/>
  <c r="V2" i="10"/>
  <c r="Y2" i="10" s="1"/>
  <c r="T2" i="10"/>
  <c r="W2" i="10" s="1"/>
  <c r="AI2" i="10" s="1"/>
  <c r="F2" i="10"/>
  <c r="AG2" i="10" s="1"/>
  <c r="Y44" i="1"/>
  <c r="Z44" i="1"/>
  <c r="AA44" i="1"/>
  <c r="AC44" i="1"/>
  <c r="AD44" i="1"/>
  <c r="AE44" i="1"/>
  <c r="Y43" i="1"/>
  <c r="Z43" i="1"/>
  <c r="AA43" i="1"/>
  <c r="AC43" i="1"/>
  <c r="AD43" i="1"/>
  <c r="AE43" i="1"/>
  <c r="Y42" i="1"/>
  <c r="Y47" i="1" s="1"/>
  <c r="Y48" i="1" s="1"/>
  <c r="Y49" i="1" s="1"/>
  <c r="Z42" i="1"/>
  <c r="Z47" i="1" s="1"/>
  <c r="Z48" i="1" s="1"/>
  <c r="Z49" i="1" s="1"/>
  <c r="AA42" i="1"/>
  <c r="AC42" i="1"/>
  <c r="AC47" i="1" s="1"/>
  <c r="AC48" i="1" s="1"/>
  <c r="AC49" i="1" s="1"/>
  <c r="AD42" i="1"/>
  <c r="AE42" i="1"/>
  <c r="C44" i="1"/>
  <c r="D44" i="1"/>
  <c r="E44" i="1"/>
  <c r="G44" i="1"/>
  <c r="H44" i="1"/>
  <c r="I44" i="1"/>
  <c r="J44" i="1"/>
  <c r="K44" i="1"/>
  <c r="L44" i="1"/>
  <c r="M44" i="1"/>
  <c r="N44" i="1"/>
  <c r="O44" i="1"/>
  <c r="P44" i="1"/>
  <c r="Q44" i="1"/>
  <c r="R44" i="1"/>
  <c r="S44" i="1"/>
  <c r="W44" i="1"/>
  <c r="W43" i="1"/>
  <c r="C43" i="1"/>
  <c r="D43" i="1"/>
  <c r="E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C42" i="1"/>
  <c r="D42" i="1"/>
  <c r="E42" i="1"/>
  <c r="G42" i="1"/>
  <c r="H42" i="1"/>
  <c r="H47" i="1" s="1"/>
  <c r="H48" i="1" s="1"/>
  <c r="H49" i="1" s="1"/>
  <c r="I42" i="1"/>
  <c r="J42" i="1"/>
  <c r="K42" i="1"/>
  <c r="K47" i="1" s="1"/>
  <c r="K48" i="1" s="1"/>
  <c r="K49" i="1" s="1"/>
  <c r="L42" i="1"/>
  <c r="M42" i="1"/>
  <c r="N42" i="1"/>
  <c r="O42" i="1"/>
  <c r="P42" i="1"/>
  <c r="Q42" i="1"/>
  <c r="R42" i="1"/>
  <c r="S42" i="1"/>
  <c r="S47" i="1" s="1"/>
  <c r="S48" i="1" s="1"/>
  <c r="S49" i="1" s="1"/>
  <c r="W42" i="1"/>
  <c r="B44" i="1"/>
  <c r="B43" i="1"/>
  <c r="B42" i="1"/>
  <c r="AI54" i="10" l="1"/>
  <c r="AH55" i="10"/>
  <c r="W11" i="10"/>
  <c r="AI11" i="10" s="1"/>
  <c r="AG21" i="10"/>
  <c r="AG27" i="10"/>
  <c r="AG11" i="10"/>
  <c r="AH27" i="10"/>
  <c r="AH11" i="10"/>
  <c r="AK37" i="10"/>
  <c r="AK21" i="10"/>
  <c r="AK5" i="10"/>
  <c r="W36" i="10"/>
  <c r="AI36" i="10" s="1"/>
  <c r="W4" i="10"/>
  <c r="AI4" i="10" s="1"/>
  <c r="AI52" i="10" s="1"/>
  <c r="AJ31" i="10"/>
  <c r="Y20" i="10"/>
  <c r="Y36" i="10"/>
  <c r="R47" i="1"/>
  <c r="R48" i="1" s="1"/>
  <c r="R49" i="1" s="1"/>
  <c r="J47" i="1"/>
  <c r="J48" i="1" s="1"/>
  <c r="J49" i="1" s="1"/>
  <c r="AG5" i="10"/>
  <c r="AG54" i="10" s="1"/>
  <c r="W17" i="10"/>
  <c r="AI17" i="10" s="1"/>
  <c r="P47" i="1"/>
  <c r="P48" i="1" s="1"/>
  <c r="P49" i="1" s="1"/>
  <c r="Y30" i="10"/>
  <c r="W30" i="10"/>
  <c r="AI30" i="10" s="1"/>
  <c r="AH26" i="10"/>
  <c r="AH10" i="10"/>
  <c r="AJ33" i="10"/>
  <c r="AJ17" i="10"/>
  <c r="M47" i="1"/>
  <c r="M48" i="1" s="1"/>
  <c r="M49" i="1" s="1"/>
  <c r="W20" i="10"/>
  <c r="AI20" i="10" s="1"/>
  <c r="AI51" i="10" s="1"/>
  <c r="AJ15" i="10"/>
  <c r="AG37" i="10"/>
  <c r="W33" i="10"/>
  <c r="AI33" i="10" s="1"/>
  <c r="AH29" i="10"/>
  <c r="AD47" i="1"/>
  <c r="AD48" i="1" s="1"/>
  <c r="AD49" i="1" s="1"/>
  <c r="O47" i="1"/>
  <c r="O48" i="1" s="1"/>
  <c r="O49" i="1" s="1"/>
  <c r="Y14" i="10"/>
  <c r="N47" i="1"/>
  <c r="N48" i="1" s="1"/>
  <c r="N49" i="1" s="1"/>
  <c r="E47" i="1"/>
  <c r="E48" i="1" s="1"/>
  <c r="E49" i="1" s="1"/>
  <c r="AA47" i="1"/>
  <c r="AA48" i="1" s="1"/>
  <c r="AA49" i="1" s="1"/>
  <c r="U13" i="10"/>
  <c r="U29" i="10"/>
  <c r="AG33" i="10"/>
  <c r="AG42" i="10" s="1"/>
  <c r="AG25" i="10"/>
  <c r="AG17" i="10"/>
  <c r="AG9" i="10"/>
  <c r="AG52" i="10" s="1"/>
  <c r="AH33" i="10"/>
  <c r="AH25" i="10"/>
  <c r="AH17" i="10"/>
  <c r="AH9" i="10"/>
  <c r="AH56" i="10" s="1"/>
  <c r="AK27" i="10"/>
  <c r="AK11" i="10"/>
  <c r="L47" i="1"/>
  <c r="L48" i="1" s="1"/>
  <c r="L49" i="1" s="1"/>
  <c r="C47" i="1"/>
  <c r="C48" i="1" s="1"/>
  <c r="C49" i="1" s="1"/>
  <c r="AG31" i="10"/>
  <c r="AG15" i="10"/>
  <c r="U3" i="10"/>
  <c r="Y6" i="10"/>
  <c r="U19" i="10"/>
  <c r="Y22" i="10"/>
  <c r="U35" i="10"/>
  <c r="AH2" i="10"/>
  <c r="D47" i="1"/>
  <c r="D48" i="1" s="1"/>
  <c r="D49" i="1" s="1"/>
  <c r="Y4" i="10"/>
  <c r="W27" i="10"/>
  <c r="AI27" i="10" s="1"/>
  <c r="AH13" i="10"/>
  <c r="Q47" i="1"/>
  <c r="Q48" i="1" s="1"/>
  <c r="Q49" i="1" s="1"/>
  <c r="I47" i="1"/>
  <c r="I48" i="1" s="1"/>
  <c r="I49" i="1" s="1"/>
  <c r="AE47" i="1"/>
  <c r="AE48" i="1" s="1"/>
  <c r="AE49" i="1" s="1"/>
  <c r="U7" i="10"/>
  <c r="U23" i="10"/>
  <c r="W46" i="10"/>
  <c r="W47" i="10" s="1"/>
  <c r="W48" i="10" s="1"/>
  <c r="T46" i="14"/>
  <c r="T47" i="14" s="1"/>
  <c r="T48" i="14" s="1"/>
  <c r="Y59" i="14"/>
  <c r="Y58" i="14"/>
  <c r="X46" i="14"/>
  <c r="X47" i="14" s="1"/>
  <c r="X48" i="14" s="1"/>
  <c r="U54" i="14"/>
  <c r="U53" i="14"/>
  <c r="U52" i="14"/>
  <c r="U51" i="14"/>
  <c r="U43" i="14"/>
  <c r="U42" i="14"/>
  <c r="U41" i="14"/>
  <c r="Z2" i="14"/>
  <c r="F46" i="14"/>
  <c r="F47" i="14" s="1"/>
  <c r="F48" i="14" s="1"/>
  <c r="V46" i="14"/>
  <c r="V47" i="14" s="1"/>
  <c r="V48" i="14" s="1"/>
  <c r="W47" i="1"/>
  <c r="W48" i="1" s="1"/>
  <c r="W49" i="1" s="1"/>
  <c r="G46" i="10"/>
  <c r="G47" i="10" s="1"/>
  <c r="G48" i="10" s="1"/>
  <c r="I46" i="10"/>
  <c r="I47" i="10" s="1"/>
  <c r="I48" i="10" s="1"/>
  <c r="K46" i="10"/>
  <c r="K47" i="10" s="1"/>
  <c r="K48" i="10" s="1"/>
  <c r="M46" i="10"/>
  <c r="M47" i="10" s="1"/>
  <c r="M48" i="10" s="1"/>
  <c r="O46" i="10"/>
  <c r="O47" i="10" s="1"/>
  <c r="O48" i="10" s="1"/>
  <c r="Q46" i="10"/>
  <c r="Q47" i="10" s="1"/>
  <c r="Q48" i="10" s="1"/>
  <c r="S46" i="10"/>
  <c r="S47" i="10" s="1"/>
  <c r="S48" i="10" s="1"/>
  <c r="G47" i="1"/>
  <c r="G48" i="1" s="1"/>
  <c r="G49" i="1" s="1"/>
  <c r="B47" i="1"/>
  <c r="B48" i="1" s="1"/>
  <c r="B49" i="1" s="1"/>
  <c r="C46" i="10"/>
  <c r="C47" i="10" s="1"/>
  <c r="C48" i="10" s="1"/>
  <c r="E46" i="10"/>
  <c r="E47" i="10" s="1"/>
  <c r="E48" i="10" s="1"/>
  <c r="AF46" i="10"/>
  <c r="AF47" i="10" s="1"/>
  <c r="AF48" i="10" s="1"/>
  <c r="D46" i="10"/>
  <c r="D47" i="10" s="1"/>
  <c r="D48" i="10" s="1"/>
  <c r="H46" i="10"/>
  <c r="H47" i="10" s="1"/>
  <c r="H48" i="10" s="1"/>
  <c r="J46" i="10"/>
  <c r="J47" i="10" s="1"/>
  <c r="J48" i="10" s="1"/>
  <c r="L46" i="10"/>
  <c r="L47" i="10" s="1"/>
  <c r="L48" i="10" s="1"/>
  <c r="N46" i="10"/>
  <c r="N47" i="10" s="1"/>
  <c r="N48" i="10" s="1"/>
  <c r="P46" i="10"/>
  <c r="P47" i="10" s="1"/>
  <c r="P48" i="10" s="1"/>
  <c r="R46" i="10"/>
  <c r="R47" i="10" s="1"/>
  <c r="R48" i="10" s="1"/>
  <c r="AA46" i="10"/>
  <c r="AA47" i="10" s="1"/>
  <c r="AA48" i="10" s="1"/>
  <c r="Z46" i="10"/>
  <c r="Z47" i="10" s="1"/>
  <c r="Z48" i="10" s="1"/>
  <c r="Y46" i="10"/>
  <c r="Y47" i="10" s="1"/>
  <c r="Y48" i="10" s="1"/>
  <c r="AE46" i="10"/>
  <c r="AE47" i="10" s="1"/>
  <c r="AE48" i="10" s="1"/>
  <c r="AD46" i="10"/>
  <c r="AD47" i="10" s="1"/>
  <c r="AD48" i="10" s="1"/>
  <c r="AC46" i="10"/>
  <c r="AC47" i="10" s="1"/>
  <c r="AC48" i="10" s="1"/>
  <c r="B46" i="10"/>
  <c r="B47" i="10" s="1"/>
  <c r="B48" i="10" s="1"/>
  <c r="U2" i="10"/>
  <c r="U4" i="10"/>
  <c r="U6" i="10"/>
  <c r="U8" i="10"/>
  <c r="U10" i="10"/>
  <c r="U12" i="10"/>
  <c r="U14" i="10"/>
  <c r="U16" i="10"/>
  <c r="U18" i="10"/>
  <c r="U20" i="10"/>
  <c r="U22" i="10"/>
  <c r="U24" i="10"/>
  <c r="U26" i="10"/>
  <c r="U28" i="10"/>
  <c r="U30" i="10"/>
  <c r="U32" i="10"/>
  <c r="U34" i="10"/>
  <c r="U36" i="10"/>
  <c r="AK30" i="10" l="1"/>
  <c r="AJ30" i="10"/>
  <c r="AK14" i="10"/>
  <c r="AJ14" i="10"/>
  <c r="AJ3" i="10"/>
  <c r="AK3" i="10"/>
  <c r="AJ13" i="10"/>
  <c r="AK13" i="10"/>
  <c r="AI41" i="10"/>
  <c r="AG43" i="10"/>
  <c r="AK18" i="10"/>
  <c r="AJ18" i="10"/>
  <c r="AK2" i="10"/>
  <c r="AJ2" i="10"/>
  <c r="AK32" i="10"/>
  <c r="AJ32" i="10"/>
  <c r="AI43" i="10"/>
  <c r="AG41" i="10"/>
  <c r="AG46" i="10" s="1"/>
  <c r="AG47" i="10" s="1"/>
  <c r="AG48" i="10" s="1"/>
  <c r="AK34" i="10"/>
  <c r="AJ34" i="10"/>
  <c r="AJ19" i="10"/>
  <c r="AK19" i="10"/>
  <c r="AK23" i="10"/>
  <c r="AJ23" i="10"/>
  <c r="AG51" i="10"/>
  <c r="AK10" i="10"/>
  <c r="AJ10" i="10"/>
  <c r="AK24" i="10"/>
  <c r="AJ24" i="10"/>
  <c r="AK8" i="10"/>
  <c r="AJ8" i="10"/>
  <c r="AK7" i="10"/>
  <c r="AJ7" i="10"/>
  <c r="AH54" i="10"/>
  <c r="AH52" i="10"/>
  <c r="AH42" i="10"/>
  <c r="AH51" i="10"/>
  <c r="AH41" i="10"/>
  <c r="AH43" i="10"/>
  <c r="AH53" i="10"/>
  <c r="AI53" i="10"/>
  <c r="AK16" i="10"/>
  <c r="AJ16" i="10"/>
  <c r="AJ28" i="10"/>
  <c r="AK28" i="10"/>
  <c r="AK26" i="10"/>
  <c r="AJ26" i="10"/>
  <c r="AJ35" i="10"/>
  <c r="AK35" i="10"/>
  <c r="AI42" i="10"/>
  <c r="AG53" i="10"/>
  <c r="AJ29" i="10"/>
  <c r="AK29" i="10"/>
  <c r="AJ12" i="10"/>
  <c r="AK12" i="10"/>
  <c r="AK22" i="10"/>
  <c r="AJ22" i="10"/>
  <c r="AK6" i="10"/>
  <c r="AJ6" i="10"/>
  <c r="AJ36" i="10"/>
  <c r="AK36" i="10"/>
  <c r="AJ20" i="10"/>
  <c r="AK20" i="10"/>
  <c r="AJ4" i="10"/>
  <c r="AK4" i="10"/>
  <c r="U46" i="14"/>
  <c r="U47" i="14" s="1"/>
  <c r="U48" i="14" s="1"/>
  <c r="AB3" i="1"/>
  <c r="AB4" i="1"/>
  <c r="AB5" i="1"/>
  <c r="AB6" i="1"/>
  <c r="AB7" i="1"/>
  <c r="AB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6" i="1"/>
  <c r="AB37" i="1"/>
  <c r="AB2" i="1"/>
  <c r="V3" i="1"/>
  <c r="X3" i="1" s="1"/>
  <c r="V4" i="1"/>
  <c r="X4" i="1" s="1"/>
  <c r="V5" i="1"/>
  <c r="X5" i="1" s="1"/>
  <c r="V6" i="1"/>
  <c r="X6" i="1" s="1"/>
  <c r="V7" i="1"/>
  <c r="X7" i="1" s="1"/>
  <c r="V8" i="1"/>
  <c r="X8" i="1" s="1"/>
  <c r="V9" i="1"/>
  <c r="X9" i="1" s="1"/>
  <c r="V10" i="1"/>
  <c r="X10" i="1" s="1"/>
  <c r="V11" i="1"/>
  <c r="X11" i="1" s="1"/>
  <c r="V12" i="1"/>
  <c r="X12" i="1" s="1"/>
  <c r="V13" i="1"/>
  <c r="X13" i="1" s="1"/>
  <c r="V14" i="1"/>
  <c r="X14" i="1" s="1"/>
  <c r="V15" i="1"/>
  <c r="X15" i="1" s="1"/>
  <c r="V16" i="1"/>
  <c r="X16" i="1" s="1"/>
  <c r="V17" i="1"/>
  <c r="X17" i="1" s="1"/>
  <c r="V18" i="1"/>
  <c r="X18" i="1" s="1"/>
  <c r="V19" i="1"/>
  <c r="X19" i="1" s="1"/>
  <c r="V20" i="1"/>
  <c r="X20" i="1" s="1"/>
  <c r="V21" i="1"/>
  <c r="X21" i="1" s="1"/>
  <c r="V22" i="1"/>
  <c r="X22" i="1" s="1"/>
  <c r="V23" i="1"/>
  <c r="X23" i="1" s="1"/>
  <c r="V24" i="1"/>
  <c r="X24" i="1" s="1"/>
  <c r="V25" i="1"/>
  <c r="X25" i="1" s="1"/>
  <c r="V26" i="1"/>
  <c r="X26" i="1" s="1"/>
  <c r="V27" i="1"/>
  <c r="X27" i="1" s="1"/>
  <c r="V28" i="1"/>
  <c r="X28" i="1" s="1"/>
  <c r="V29" i="1"/>
  <c r="X29" i="1" s="1"/>
  <c r="V30" i="1"/>
  <c r="X30" i="1" s="1"/>
  <c r="V31" i="1"/>
  <c r="X31" i="1" s="1"/>
  <c r="V32" i="1"/>
  <c r="X32" i="1" s="1"/>
  <c r="V33" i="1"/>
  <c r="X33" i="1" s="1"/>
  <c r="V34" i="1"/>
  <c r="X34" i="1" s="1"/>
  <c r="V35" i="1"/>
  <c r="X35" i="1" s="1"/>
  <c r="V36" i="1"/>
  <c r="X36" i="1" s="1"/>
  <c r="V37" i="1"/>
  <c r="X37" i="1" s="1"/>
  <c r="T37" i="1"/>
  <c r="F37" i="1"/>
  <c r="T36" i="1"/>
  <c r="F36" i="1"/>
  <c r="T35" i="1"/>
  <c r="F35" i="1"/>
  <c r="T34" i="1"/>
  <c r="F34" i="1"/>
  <c r="T33" i="1"/>
  <c r="F33" i="1"/>
  <c r="T32" i="1"/>
  <c r="F32" i="1"/>
  <c r="T31" i="1"/>
  <c r="F31" i="1"/>
  <c r="T30" i="1"/>
  <c r="F30" i="1"/>
  <c r="T29" i="1"/>
  <c r="F29" i="1"/>
  <c r="T28" i="1"/>
  <c r="F28" i="1"/>
  <c r="T27" i="1"/>
  <c r="F27" i="1"/>
  <c r="T26" i="1"/>
  <c r="F26" i="1"/>
  <c r="T25" i="1"/>
  <c r="F25" i="1"/>
  <c r="T24" i="1"/>
  <c r="F24" i="1"/>
  <c r="T23" i="1"/>
  <c r="F23" i="1"/>
  <c r="T22" i="1"/>
  <c r="F22" i="1"/>
  <c r="T21" i="1"/>
  <c r="F21" i="1"/>
  <c r="T20" i="1"/>
  <c r="F20" i="1"/>
  <c r="T19" i="1"/>
  <c r="F19" i="1"/>
  <c r="T18" i="1"/>
  <c r="F18" i="1"/>
  <c r="T17" i="1"/>
  <c r="F17" i="1"/>
  <c r="T16" i="1"/>
  <c r="F16" i="1"/>
  <c r="T15" i="1"/>
  <c r="F15" i="1"/>
  <c r="T14" i="1"/>
  <c r="F14" i="1"/>
  <c r="T13" i="1"/>
  <c r="F13" i="1"/>
  <c r="T12" i="1"/>
  <c r="F12" i="1"/>
  <c r="T11" i="1"/>
  <c r="F11" i="1"/>
  <c r="T10" i="1"/>
  <c r="F10" i="1"/>
  <c r="T9" i="1"/>
  <c r="F9" i="1"/>
  <c r="T8" i="1"/>
  <c r="F8" i="1"/>
  <c r="T7" i="1"/>
  <c r="F7" i="1"/>
  <c r="T6" i="1"/>
  <c r="F6" i="1"/>
  <c r="T5" i="1"/>
  <c r="F5" i="1"/>
  <c r="T4" i="1"/>
  <c r="F4" i="1"/>
  <c r="T3" i="1"/>
  <c r="F3" i="1"/>
  <c r="T2" i="1"/>
  <c r="F2" i="1"/>
  <c r="AH46" i="10" l="1"/>
  <c r="AH47" i="10" s="1"/>
  <c r="AH48" i="10" s="1"/>
  <c r="AJ41" i="10"/>
  <c r="AJ54" i="10"/>
  <c r="AJ52" i="10"/>
  <c r="AJ42" i="10"/>
  <c r="AJ53" i="10"/>
  <c r="AJ51" i="10"/>
  <c r="AJ43" i="10"/>
  <c r="AK41" i="10"/>
  <c r="AK59" i="10"/>
  <c r="AK54" i="10"/>
  <c r="AK52" i="10"/>
  <c r="AK42" i="10"/>
  <c r="AM3" i="10"/>
  <c r="AM2" i="10"/>
  <c r="AK58" i="10"/>
  <c r="AK57" i="10"/>
  <c r="AK53" i="10"/>
  <c r="AK51" i="10"/>
  <c r="AK43" i="10"/>
  <c r="AI46" i="10"/>
  <c r="AI47" i="10" s="1"/>
  <c r="AI48" i="10" s="1"/>
  <c r="T41" i="10"/>
  <c r="T54" i="1"/>
  <c r="T52" i="1"/>
  <c r="T55" i="10"/>
  <c r="T53" i="10"/>
  <c r="T51" i="10"/>
  <c r="T42" i="10"/>
  <c r="T44" i="1"/>
  <c r="T43" i="1"/>
  <c r="T42" i="1"/>
  <c r="T54" i="10"/>
  <c r="T52" i="10"/>
  <c r="T43" i="10"/>
  <c r="T55" i="1"/>
  <c r="T53" i="1"/>
  <c r="F41" i="10"/>
  <c r="F54" i="1"/>
  <c r="F52" i="1"/>
  <c r="F55" i="10"/>
  <c r="F53" i="10"/>
  <c r="F51" i="10"/>
  <c r="F42" i="10"/>
  <c r="F44" i="1"/>
  <c r="F43" i="1"/>
  <c r="F42" i="1"/>
  <c r="AK55" i="10"/>
  <c r="F54" i="10"/>
  <c r="F52" i="10"/>
  <c r="F43" i="10"/>
  <c r="F55" i="1"/>
  <c r="F53" i="1"/>
  <c r="U3" i="1"/>
  <c r="U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AK37" i="1" s="1"/>
  <c r="X2" i="1"/>
  <c r="V41" i="10"/>
  <c r="V54" i="1"/>
  <c r="V52" i="1"/>
  <c r="V54" i="10"/>
  <c r="V52" i="10"/>
  <c r="V43" i="10"/>
  <c r="V55" i="1"/>
  <c r="V53" i="1"/>
  <c r="V44" i="1"/>
  <c r="V43" i="1"/>
  <c r="V42" i="1"/>
  <c r="V55" i="10"/>
  <c r="V53" i="10"/>
  <c r="V51" i="10"/>
  <c r="V42" i="10"/>
  <c r="AB57" i="10"/>
  <c r="AB61" i="1"/>
  <c r="AB41" i="10"/>
  <c r="AB56" i="1"/>
  <c r="AB54" i="1"/>
  <c r="AB52" i="1"/>
  <c r="AB44" i="1"/>
  <c r="AB43" i="1"/>
  <c r="AB42" i="1"/>
  <c r="AB56" i="10"/>
  <c r="AB54" i="10"/>
  <c r="AB52" i="10"/>
  <c r="AB43" i="10"/>
  <c r="AB55" i="1"/>
  <c r="AB53" i="1"/>
  <c r="AB58" i="10"/>
  <c r="AB55" i="10"/>
  <c r="AB53" i="10"/>
  <c r="AB51" i="10"/>
  <c r="AB42" i="10"/>
  <c r="AB58" i="1"/>
  <c r="U2" i="1"/>
  <c r="AF2" i="1" s="1"/>
  <c r="AJ46" i="10" l="1"/>
  <c r="AJ47" i="10" s="1"/>
  <c r="AJ48" i="10" s="1"/>
  <c r="AK46" i="10"/>
  <c r="AK47" i="10" s="1"/>
  <c r="AK48" i="10" s="1"/>
  <c r="AF36" i="1"/>
  <c r="AK36" i="1"/>
  <c r="AF34" i="1"/>
  <c r="AK34" i="1"/>
  <c r="AF32" i="1"/>
  <c r="AK32" i="1"/>
  <c r="AF30" i="1"/>
  <c r="AK30" i="1"/>
  <c r="AF28" i="1"/>
  <c r="AK28" i="1"/>
  <c r="AF26" i="1"/>
  <c r="AK26" i="1"/>
  <c r="AF24" i="1"/>
  <c r="AK24" i="1"/>
  <c r="AF22" i="1"/>
  <c r="AK22" i="1"/>
  <c r="AF20" i="1"/>
  <c r="AK20" i="1"/>
  <c r="AF18" i="1"/>
  <c r="AK18" i="1"/>
  <c r="AF16" i="1"/>
  <c r="AK16" i="1"/>
  <c r="AF14" i="1"/>
  <c r="AK14" i="1"/>
  <c r="AF12" i="1"/>
  <c r="AK12" i="1"/>
  <c r="AF10" i="1"/>
  <c r="AK10" i="1"/>
  <c r="AF8" i="1"/>
  <c r="AK8" i="1"/>
  <c r="AF6" i="1"/>
  <c r="AK6" i="1"/>
  <c r="AF4" i="1"/>
  <c r="AK4" i="1"/>
  <c r="AK2" i="1"/>
  <c r="AF37" i="1"/>
  <c r="AF35" i="1"/>
  <c r="AK35" i="1"/>
  <c r="AF33" i="1"/>
  <c r="AK33" i="1"/>
  <c r="AF31" i="1"/>
  <c r="AK31" i="1"/>
  <c r="AF29" i="1"/>
  <c r="AK29" i="1"/>
  <c r="AF27" i="1"/>
  <c r="AK27" i="1"/>
  <c r="AF25" i="1"/>
  <c r="AK25" i="1"/>
  <c r="AF23" i="1"/>
  <c r="AK23" i="1"/>
  <c r="AF21" i="1"/>
  <c r="AK21" i="1"/>
  <c r="AF19" i="1"/>
  <c r="AK19" i="1"/>
  <c r="AF17" i="1"/>
  <c r="AK17" i="1"/>
  <c r="AF15" i="1"/>
  <c r="AK15" i="1"/>
  <c r="AF13" i="1"/>
  <c r="AK13" i="1"/>
  <c r="AF11" i="1"/>
  <c r="AK11" i="1"/>
  <c r="AF9" i="1"/>
  <c r="AK9" i="1"/>
  <c r="AF7" i="1"/>
  <c r="AK7" i="1"/>
  <c r="AF5" i="1"/>
  <c r="AK5" i="1"/>
  <c r="AF3" i="1"/>
  <c r="AK3" i="1"/>
  <c r="T47" i="1"/>
  <c r="T48" i="1" s="1"/>
  <c r="T49" i="1" s="1"/>
  <c r="AB57" i="1"/>
  <c r="AB60" i="1" s="1"/>
  <c r="X58" i="10"/>
  <c r="X57" i="10"/>
  <c r="X41" i="10"/>
  <c r="X54" i="1"/>
  <c r="X52" i="1"/>
  <c r="X44" i="1"/>
  <c r="X43" i="1"/>
  <c r="X42" i="1"/>
  <c r="X54" i="10"/>
  <c r="X52" i="10"/>
  <c r="X43" i="10"/>
  <c r="X55" i="1"/>
  <c r="X53" i="1"/>
  <c r="X55" i="10"/>
  <c r="X53" i="10"/>
  <c r="X51" i="10"/>
  <c r="X42" i="10"/>
  <c r="F46" i="10"/>
  <c r="F47" i="10" s="1"/>
  <c r="F48" i="10" s="1"/>
  <c r="U55" i="10"/>
  <c r="U54" i="10"/>
  <c r="U53" i="10"/>
  <c r="U52" i="10"/>
  <c r="U51" i="10"/>
  <c r="U43" i="10"/>
  <c r="U42" i="10"/>
  <c r="U55" i="1"/>
  <c r="U53" i="1"/>
  <c r="U54" i="1"/>
  <c r="U52" i="1"/>
  <c r="U41" i="10"/>
  <c r="U44" i="1"/>
  <c r="U43" i="1"/>
  <c r="U42" i="1"/>
  <c r="AB47" i="1"/>
  <c r="AB48" i="1" s="1"/>
  <c r="AB49" i="1" s="1"/>
  <c r="AB46" i="10"/>
  <c r="AB47" i="10" s="1"/>
  <c r="AB48" i="10" s="1"/>
  <c r="V47" i="1"/>
  <c r="V48" i="1" s="1"/>
  <c r="V49" i="1" s="1"/>
  <c r="V46" i="10"/>
  <c r="V47" i="10" s="1"/>
  <c r="V48" i="10" s="1"/>
  <c r="F47" i="1"/>
  <c r="F48" i="1" s="1"/>
  <c r="F49" i="1" s="1"/>
  <c r="T46" i="10"/>
  <c r="T47" i="10" s="1"/>
  <c r="T48" i="10" s="1"/>
  <c r="AK51" i="1" l="1"/>
  <c r="AF42" i="1"/>
  <c r="AF47" i="1" s="1"/>
  <c r="AF53" i="1"/>
  <c r="AF52" i="1"/>
  <c r="AB59" i="1"/>
  <c r="U46" i="10"/>
  <c r="U47" i="10" s="1"/>
  <c r="U48" i="10" s="1"/>
  <c r="X46" i="10"/>
  <c r="X47" i="10" s="1"/>
  <c r="X48" i="10" s="1"/>
  <c r="U47" i="1"/>
  <c r="U48" i="1" s="1"/>
  <c r="U49" i="1" s="1"/>
  <c r="X47" i="1"/>
  <c r="X48" i="1" s="1"/>
  <c r="X49" i="1" s="1"/>
</calcChain>
</file>

<file path=xl/sharedStrings.xml><?xml version="1.0" encoding="utf-8"?>
<sst xmlns="http://schemas.openxmlformats.org/spreadsheetml/2006/main" count="500" uniqueCount="106">
  <si>
    <t>Приход мляко</t>
  </si>
  <si>
    <t>Приход животни</t>
  </si>
  <si>
    <t>Приходи телета</t>
  </si>
  <si>
    <t>Субсидия</t>
  </si>
  <si>
    <t>Общи приходи</t>
  </si>
  <si>
    <t>Разходи лекарства</t>
  </si>
  <si>
    <t>Ел енергия</t>
  </si>
  <si>
    <t>Застраховни</t>
  </si>
  <si>
    <t>Заплати + осигуровки</t>
  </si>
  <si>
    <t>Кредити</t>
  </si>
  <si>
    <t>Лихви кредити</t>
  </si>
  <si>
    <t>Лизингови договори</t>
  </si>
  <si>
    <t>Гориво</t>
  </si>
  <si>
    <t>Ремонт</t>
  </si>
  <si>
    <t>Фуражи</t>
  </si>
  <si>
    <t>Семенна течност</t>
  </si>
  <si>
    <t>Ушни марки</t>
  </si>
  <si>
    <t>Други</t>
  </si>
  <si>
    <t>Общи разходи</t>
  </si>
  <si>
    <t>Дата</t>
  </si>
  <si>
    <t>яну</t>
  </si>
  <si>
    <t>фев</t>
  </si>
  <si>
    <t>мар</t>
  </si>
  <si>
    <t>апр</t>
  </si>
  <si>
    <t>май</t>
  </si>
  <si>
    <t>юни</t>
  </si>
  <si>
    <t>юли</t>
  </si>
  <si>
    <t>авг</t>
  </si>
  <si>
    <t>сеп</t>
  </si>
  <si>
    <t>окт</t>
  </si>
  <si>
    <t>ное</t>
  </si>
  <si>
    <t>дек</t>
  </si>
  <si>
    <t>Литри</t>
  </si>
  <si>
    <t>Печалба на месец</t>
  </si>
  <si>
    <t>Мляко/Фураж</t>
  </si>
  <si>
    <t>Нисък</t>
  </si>
  <si>
    <t>Среден</t>
  </si>
  <si>
    <t>Висок</t>
  </si>
  <si>
    <t>Производствени разходи</t>
  </si>
  <si>
    <t>Намален</t>
  </si>
  <si>
    <t>Устойчив</t>
  </si>
  <si>
    <t>Повишен</t>
  </si>
  <si>
    <t>Етикети на редове</t>
  </si>
  <si>
    <t>Обща сума</t>
  </si>
  <si>
    <t>2019</t>
  </si>
  <si>
    <t>Трим.1</t>
  </si>
  <si>
    <t>Трим.2</t>
  </si>
  <si>
    <t>Трим.3</t>
  </si>
  <si>
    <t>Трим.4</t>
  </si>
  <si>
    <t>Сума от Печалба на месец</t>
  </si>
  <si>
    <t>Произ. разходи/литър</t>
  </si>
  <si>
    <t>Нисък разход</t>
  </si>
  <si>
    <t>Среден разход</t>
  </si>
  <si>
    <t>Висок разход</t>
  </si>
  <si>
    <t>Произодствени разходи/литър</t>
  </si>
  <si>
    <t>Намалени приходи</t>
  </si>
  <si>
    <t>Устойчиви приходи</t>
  </si>
  <si>
    <t>Повишени приходи</t>
  </si>
  <si>
    <t>Съотношение Мляко/Фураж</t>
  </si>
  <si>
    <t>Observations</t>
  </si>
  <si>
    <t>Skewness</t>
  </si>
  <si>
    <t>Kurtiosis</t>
  </si>
  <si>
    <t>JB test</t>
  </si>
  <si>
    <t>p_value</t>
  </si>
  <si>
    <t>H0</t>
  </si>
  <si>
    <t>Извод</t>
  </si>
  <si>
    <t>SD</t>
  </si>
  <si>
    <t>CI</t>
  </si>
  <si>
    <t>Mean</t>
  </si>
  <si>
    <t>Lower</t>
  </si>
  <si>
    <t>Upper</t>
  </si>
  <si>
    <t>Приходи/литър</t>
  </si>
  <si>
    <t>Фиксирани разходи</t>
  </si>
  <si>
    <t>Променливи/литър</t>
  </si>
  <si>
    <t>Фиксирани/литър</t>
  </si>
  <si>
    <t>Печалба/приход</t>
  </si>
  <si>
    <t>Печалба/литър</t>
  </si>
  <si>
    <t>Median</t>
  </si>
  <si>
    <t>Ниска</t>
  </si>
  <si>
    <t>Средна</t>
  </si>
  <si>
    <t>Висока</t>
  </si>
  <si>
    <t>Съот. печалба/приход</t>
  </si>
  <si>
    <t>Ниска Печалба</t>
  </si>
  <si>
    <t>Средна Печалба</t>
  </si>
  <si>
    <t>Висока Печалба</t>
  </si>
  <si>
    <t>Загуби</t>
  </si>
  <si>
    <t>Сума от Загуби</t>
  </si>
  <si>
    <t>СР. ЦЕНА</t>
  </si>
  <si>
    <t>2020</t>
  </si>
  <si>
    <t>2021</t>
  </si>
  <si>
    <t>Съотношение приходи/литър</t>
  </si>
  <si>
    <t>Ниски</t>
  </si>
  <si>
    <t>Средни</t>
  </si>
  <si>
    <t>Високи</t>
  </si>
  <si>
    <t>Общо</t>
  </si>
  <si>
    <t>Загуби_литър</t>
  </si>
  <si>
    <t>Средно от Печалба/литър</t>
  </si>
  <si>
    <t>Средно от Загуби_литър</t>
  </si>
  <si>
    <t>Средно от Ниски</t>
  </si>
  <si>
    <t>Средно от Средни</t>
  </si>
  <si>
    <t>Средно от Високи</t>
  </si>
  <si>
    <t>Застраховки</t>
  </si>
  <si>
    <t>Средно от СР. ЦЕНА</t>
  </si>
  <si>
    <t>Средна стойност</t>
  </si>
  <si>
    <t>Row Labels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</si>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</sst>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 style="thin">
        <color rgb="FFABABAB"/>
      </right>
      <top style="thin">
        <color indexed="65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/>
      <diagonal/>
    </border>
    <border>
      <left/>
      <right style="thin">
        <color rgb="FFABABAB"/>
      </right>
      <top style="thin">
        <color rgb="FFABABAB"/>
      </top>
      <bottom/>
      <diagonal/>
    </border>
    <border>
      <left/>
      <right style="thin">
        <color rgb="FFABABAB"/>
      </right>
      <top style="thin">
        <color indexed="65"/>
      </top>
      <bottom/>
      <diagonal/>
    </border>
    <border>
      <left/>
      <right/>
      <top style="thin">
        <color rgb="FFABABAB"/>
      </top>
      <bottom style="thin">
        <color rgb="FFABABAB"/>
      </bottom>
      <diagonal/>
    </border>
    <border>
      <left/>
      <right style="thin">
        <color rgb="FFABABAB"/>
      </right>
      <top style="thin">
        <color rgb="FFABABAB"/>
      </top>
      <bottom style="thin">
        <color rgb="FFABABAB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0">
    <xf numFmtId="0" fontId="0" fillId="0" borderId="0" xfId="0"/>
    <xf numFmtId="0" fontId="0" fillId="2" borderId="0" xfId="0" applyFill="1"/>
    <xf numFmtId="14" fontId="0" fillId="0" borderId="0" xfId="0" applyNumberFormat="1"/>
    <xf numFmtId="0" fontId="0" fillId="3" borderId="0" xfId="0" applyFill="1"/>
    <xf numFmtId="2" fontId="0" fillId="0" borderId="0" xfId="0" applyNumberFormat="1"/>
    <xf numFmtId="0" fontId="0" fillId="4" borderId="0" xfId="0" applyFill="1"/>
    <xf numFmtId="0" fontId="0" fillId="0" borderId="0" xfId="0" pivotButton="1"/>
    <xf numFmtId="0" fontId="0" fillId="0" borderId="0" xfId="0" applyAlignment="1">
      <alignment horizontal="left"/>
    </xf>
    <xf numFmtId="0" fontId="0" fillId="0" borderId="2" xfId="0" applyBorder="1"/>
    <xf numFmtId="9" fontId="0" fillId="0" borderId="0" xfId="0" applyNumberFormat="1"/>
    <xf numFmtId="0" fontId="0" fillId="0" borderId="0" xfId="0" applyAlignment="1">
      <alignment horizontal="left" indent="1"/>
    </xf>
    <xf numFmtId="0" fontId="0" fillId="5" borderId="0" xfId="0" applyFill="1"/>
    <xf numFmtId="0" fontId="0" fillId="6" borderId="0" xfId="0" applyFill="1"/>
    <xf numFmtId="2" fontId="0" fillId="3" borderId="0" xfId="0" applyNumberFormat="1" applyFill="1"/>
    <xf numFmtId="0" fontId="0" fillId="0" borderId="3" xfId="0" applyBorder="1"/>
    <xf numFmtId="0" fontId="1" fillId="0" borderId="4" xfId="0" applyFont="1" applyBorder="1" applyAlignment="1">
      <alignment horizontal="center"/>
    </xf>
    <xf numFmtId="164" fontId="0" fillId="0" borderId="0" xfId="0" applyNumberFormat="1"/>
    <xf numFmtId="164" fontId="0" fillId="0" borderId="3" xfId="0" applyNumberFormat="1" applyBorder="1"/>
    <xf numFmtId="2" fontId="0" fillId="0" borderId="3" xfId="0" applyNumberFormat="1" applyBorder="1"/>
    <xf numFmtId="164" fontId="0" fillId="3" borderId="0" xfId="0" applyNumberFormat="1" applyFill="1"/>
    <xf numFmtId="164" fontId="0" fillId="3" borderId="3" xfId="0" applyNumberFormat="1" applyFill="1" applyBorder="1"/>
    <xf numFmtId="9" fontId="0" fillId="0" borderId="0" xfId="1" applyFont="1"/>
    <xf numFmtId="0" fontId="0" fillId="0" borderId="5" xfId="0" pivotButton="1" applyBorder="1"/>
    <xf numFmtId="0" fontId="0" fillId="0" borderId="6" xfId="0" applyBorder="1"/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 indent="1"/>
    </xf>
    <xf numFmtId="0" fontId="0" fillId="0" borderId="8" xfId="0" applyBorder="1"/>
    <xf numFmtId="14" fontId="0" fillId="0" borderId="7" xfId="0" applyNumberFormat="1" applyBorder="1" applyAlignment="1">
      <alignment horizontal="left" indent="2"/>
    </xf>
    <xf numFmtId="0" fontId="0" fillId="0" borderId="9" xfId="0" applyBorder="1" applyAlignment="1">
      <alignment horizontal="left"/>
    </xf>
    <xf numFmtId="0" fontId="0" fillId="0" borderId="10" xfId="0" applyBorder="1"/>
    <xf numFmtId="0" fontId="0" fillId="0" borderId="5" xfId="0" applyBorder="1"/>
    <xf numFmtId="0" fontId="0" fillId="0" borderId="11" xfId="0" applyBorder="1"/>
    <xf numFmtId="0" fontId="0" fillId="0" borderId="12" xfId="0" applyBorder="1"/>
    <xf numFmtId="0" fontId="0" fillId="0" borderId="7" xfId="0" applyBorder="1"/>
    <xf numFmtId="0" fontId="0" fillId="0" borderId="1" xfId="0" applyBorder="1"/>
    <xf numFmtId="0" fontId="0" fillId="0" borderId="13" xfId="0" applyBorder="1"/>
    <xf numFmtId="0" fontId="0" fillId="0" borderId="9" xfId="0" applyBorder="1"/>
    <xf numFmtId="0" fontId="0" fillId="0" borderId="14" xfId="0" applyBorder="1"/>
    <xf numFmtId="0" fontId="0" fillId="0" borderId="15" xfId="0" applyBorder="1"/>
    <xf numFmtId="0" fontId="0" fillId="0" borderId="7" xfId="0" applyBorder="1" applyAlignment="1">
      <alignment horizontal="left"/>
    </xf>
  </cellXfs>
  <cellStyles count="2">
    <cellStyle name="Normal" xfId="0" builtinId="0"/>
    <cellStyle name="Percent" xfId="1" builtinId="5"/>
  </cellStyles>
  <dxfs count="6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fill>
        <patternFill patternType="solid">
          <fgColor indexed="64"/>
          <bgColor theme="9"/>
        </patternFill>
      </fill>
    </dxf>
    <dxf>
      <fill>
        <patternFill patternType="solid">
          <fgColor indexed="64"/>
          <bgColor theme="9"/>
        </patternFill>
      </fill>
    </dxf>
    <dxf>
      <numFmt numFmtId="165" formatCode="d/m/yyyy"/>
    </dxf>
    <dxf>
      <numFmt numFmtId="164" formatCode="0.000"/>
    </dxf>
    <dxf>
      <numFmt numFmtId="2" formatCode="0.00"/>
    </dxf>
    <dxf>
      <numFmt numFmtId="2" formatCode="0.00"/>
    </dxf>
    <dxf>
      <numFmt numFmtId="2" formatCode="0.00"/>
    </dxf>
    <dxf>
      <fill>
        <patternFill patternType="solid">
          <fgColor indexed="64"/>
          <bgColor theme="9"/>
        </patternFill>
      </fill>
    </dxf>
    <dxf>
      <fill>
        <patternFill patternType="solid">
          <fgColor indexed="64"/>
          <bgColor theme="9"/>
        </patternFill>
      </fill>
    </dxf>
    <dxf>
      <fill>
        <patternFill patternType="solid">
          <fgColor indexed="64"/>
          <bgColor theme="9"/>
        </patternFill>
      </fill>
    </dxf>
    <dxf>
      <fill>
        <patternFill patternType="solid">
          <fgColor indexed="64"/>
          <bgColor theme="9"/>
        </patternFill>
      </fill>
    </dxf>
    <dxf>
      <numFmt numFmtId="165" formatCode="d/m/yyyy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2" formatCode="0.00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07/relationships/slicerCache" Target="slicerCaches/slicerCache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07/relationships/slicerCache" Target="slicerCaches/slicerCache1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[st.zagora_dashboard4.xlsx]Annual income!Обобщена таблица1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bg-BG"/>
              <a:t>Годишен</a:t>
            </a:r>
            <a:r>
              <a:rPr lang="bg-BG" baseline="0"/>
              <a:t> приход</a:t>
            </a:r>
            <a:endParaRPr lang="bg-BG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'Annual income'!$B$3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'Annual income'!$A$4:$A$7</c:f>
              <c:strCache>
                <c:ptCount val="3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</c:strCache>
            </c:strRef>
          </c:cat>
          <c:val>
            <c:numRef>
              <c:f>'Annual income'!$B$4:$B$7</c:f>
              <c:numCache>
                <c:formatCode>General</c:formatCode>
                <c:ptCount val="3"/>
                <c:pt idx="0">
                  <c:v>323523.4200000001</c:v>
                </c:pt>
                <c:pt idx="1">
                  <c:v>606906.12</c:v>
                </c:pt>
                <c:pt idx="2">
                  <c:v>585119.37000000011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48-4ADF-93FA-DFF503AA39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802936"/>
        <c:axId val="453053016"/>
      </c:barChart>
      <c:catAx>
        <c:axId val="452802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3053016"/>
        <c:crosses val="autoZero"/>
        <c:auto val="1"/>
        <c:lblAlgn val="ctr"/>
        <c:lblOffset val="100"/>
        <c:noMultiLvlLbl val="0"/>
      </c:catAx>
      <c:valAx>
        <c:axId val="453053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2802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[st.zagora_dashboard4.xlsx]Milk_feed!Обобщена таблица4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bg-BG"/>
              <a:t>Съотношение</a:t>
            </a:r>
            <a:r>
              <a:rPr lang="bg-BG" baseline="0"/>
              <a:t> между приход от мляко и разходи за фураж</a:t>
            </a:r>
            <a:endParaRPr lang="bg-BG"/>
          </a:p>
        </c:rich>
      </c:tx>
      <c:layout>
        <c:manualLayout>
          <c:xMode val="edge"/>
          <c:yMode val="edge"/>
          <c:x val="0.16122101868875219"/>
          <c:y val="5.25444803505285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Milk_feed!$C$3</c:f>
              <c:strCache>
                <c:ptCount val="1"/>
                <c:pt idx="0">
                  <c:v>Намалени приходи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Milk_feed!$A$4:$A$55</c:f>
              <c:multiLvlStrCache>
                <c:ptCount val="36"/>
                <c:lvl>
                  <c:pt idx="0">
                    <c:v>яну</c:v>
                  </c:pt>
                  <c:pt idx="1">
                    <c:v>фев</c:v>
                  </c:pt>
                  <c:pt idx="2">
                    <c:v>мар</c:v>
                  </c:pt>
                  <c:pt idx="3">
                    <c:v>апр</c:v>
                  </c:pt>
                  <c:pt idx="4">
                    <c:v>май</c:v>
                  </c:pt>
                  <c:pt idx="5">
                    <c:v>юни</c:v>
                  </c:pt>
                  <c:pt idx="6">
                    <c:v>юли</c:v>
                  </c:pt>
                  <c:pt idx="7">
                    <c:v>авг</c:v>
                  </c:pt>
                  <c:pt idx="8">
                    <c:v>сеп</c:v>
                  </c:pt>
                  <c:pt idx="9">
                    <c:v>окт</c:v>
                  </c:pt>
                  <c:pt idx="10">
                    <c:v>ное</c:v>
                  </c:pt>
                  <c:pt idx="11">
                    <c:v>дек</c:v>
                  </c:pt>
                  <c:pt idx="12">
                    <c:v>яну</c:v>
                  </c:pt>
                  <c:pt idx="13">
                    <c:v>фев</c:v>
                  </c:pt>
                  <c:pt idx="14">
                    <c:v>мар</c:v>
                  </c:pt>
                  <c:pt idx="15">
                    <c:v>апр</c:v>
                  </c:pt>
                  <c:pt idx="16">
                    <c:v>май</c:v>
                  </c:pt>
                  <c:pt idx="17">
                    <c:v>юни</c:v>
                  </c:pt>
                  <c:pt idx="18">
                    <c:v>юли</c:v>
                  </c:pt>
                  <c:pt idx="19">
                    <c:v>авг</c:v>
                  </c:pt>
                  <c:pt idx="20">
                    <c:v>сеп</c:v>
                  </c:pt>
                  <c:pt idx="21">
                    <c:v>окт</c:v>
                  </c:pt>
                  <c:pt idx="22">
                    <c:v>ное</c:v>
                  </c:pt>
                  <c:pt idx="23">
                    <c:v>дек</c:v>
                  </c:pt>
                  <c:pt idx="24">
                    <c:v>яну</c:v>
                  </c:pt>
                  <c:pt idx="25">
                    <c:v>фев</c:v>
                  </c:pt>
                  <c:pt idx="26">
                    <c:v>мар</c:v>
                  </c:pt>
                  <c:pt idx="27">
                    <c:v>апр</c:v>
                  </c:pt>
                  <c:pt idx="28">
                    <c:v>май</c:v>
                  </c:pt>
                  <c:pt idx="29">
                    <c:v>юни</c:v>
                  </c:pt>
                  <c:pt idx="30">
                    <c:v>юли</c:v>
                  </c:pt>
                  <c:pt idx="31">
                    <c:v>авг</c:v>
                  </c:pt>
                  <c:pt idx="32">
                    <c:v>сеп</c:v>
                  </c:pt>
                  <c:pt idx="33">
                    <c:v>окт</c:v>
                  </c:pt>
                  <c:pt idx="34">
                    <c:v>ное</c:v>
                  </c:pt>
                  <c:pt idx="35">
                    <c:v>дек</c:v>
                  </c:pt>
                </c:lvl>
                <c:lvl>
                  <c:pt idx="0">
                    <c:v>Трим.1</c:v>
                  </c:pt>
                  <c:pt idx="3">
                    <c:v>Трим.2</c:v>
                  </c:pt>
                  <c:pt idx="6">
                    <c:v>Трим.3</c:v>
                  </c:pt>
                  <c:pt idx="9">
                    <c:v>Трим.4</c:v>
                  </c:pt>
                  <c:pt idx="12">
                    <c:v>Трим.1</c:v>
                  </c:pt>
                  <c:pt idx="15">
                    <c:v>Трим.2</c:v>
                  </c:pt>
                  <c:pt idx="18">
                    <c:v>Трим.3</c:v>
                  </c:pt>
                  <c:pt idx="21">
                    <c:v>Трим.4</c:v>
                  </c:pt>
                  <c:pt idx="24">
                    <c:v>Трим.1</c:v>
                  </c:pt>
                  <c:pt idx="27">
                    <c:v>Трим.2</c:v>
                  </c:pt>
                  <c:pt idx="30">
                    <c:v>Трим.3</c:v>
                  </c:pt>
                  <c:pt idx="33">
                    <c:v>Трим.4</c:v>
                  </c:pt>
                </c:lvl>
                <c:lvl>
                  <c:pt idx="0">
                    <c:v>2019</c:v>
                  </c:pt>
                  <c:pt idx="12">
                    <c:v>2020</c:v>
                  </c:pt>
                  <c:pt idx="24">
                    <c:v>2021</c:v>
                  </c:pt>
                </c:lvl>
              </c:multiLvlStrCache>
            </c:multiLvlStrRef>
          </c:cat>
          <c:val>
            <c:numRef>
              <c:f>Milk_feed!$C$4:$C$55</c:f>
              <c:numCache>
                <c:formatCode>General</c:formatCode>
                <c:ptCount val="36"/>
                <c:pt idx="0">
                  <c:v>1.43</c:v>
                </c:pt>
                <c:pt idx="1">
                  <c:v>1.43</c:v>
                </c:pt>
                <c:pt idx="2">
                  <c:v>1.43</c:v>
                </c:pt>
                <c:pt idx="3">
                  <c:v>1.43</c:v>
                </c:pt>
                <c:pt idx="4">
                  <c:v>1.43</c:v>
                </c:pt>
                <c:pt idx="5">
                  <c:v>1.43</c:v>
                </c:pt>
                <c:pt idx="6">
                  <c:v>1.43</c:v>
                </c:pt>
                <c:pt idx="7">
                  <c:v>1.43</c:v>
                </c:pt>
                <c:pt idx="8">
                  <c:v>1.43</c:v>
                </c:pt>
                <c:pt idx="9">
                  <c:v>1.43</c:v>
                </c:pt>
                <c:pt idx="10">
                  <c:v>1.43</c:v>
                </c:pt>
                <c:pt idx="11">
                  <c:v>1.43</c:v>
                </c:pt>
                <c:pt idx="12">
                  <c:v>1.43</c:v>
                </c:pt>
                <c:pt idx="13">
                  <c:v>1.43</c:v>
                </c:pt>
                <c:pt idx="14">
                  <c:v>1.43</c:v>
                </c:pt>
                <c:pt idx="15">
                  <c:v>1.43</c:v>
                </c:pt>
                <c:pt idx="16">
                  <c:v>1.43</c:v>
                </c:pt>
                <c:pt idx="17">
                  <c:v>1.43</c:v>
                </c:pt>
                <c:pt idx="18">
                  <c:v>1.43</c:v>
                </c:pt>
                <c:pt idx="19">
                  <c:v>1.43</c:v>
                </c:pt>
                <c:pt idx="20">
                  <c:v>1.43</c:v>
                </c:pt>
                <c:pt idx="21">
                  <c:v>1.43</c:v>
                </c:pt>
                <c:pt idx="22">
                  <c:v>1.43</c:v>
                </c:pt>
                <c:pt idx="23">
                  <c:v>1.43</c:v>
                </c:pt>
                <c:pt idx="24">
                  <c:v>1.43</c:v>
                </c:pt>
                <c:pt idx="25">
                  <c:v>1.43</c:v>
                </c:pt>
                <c:pt idx="26">
                  <c:v>1.43</c:v>
                </c:pt>
                <c:pt idx="27">
                  <c:v>1.43</c:v>
                </c:pt>
                <c:pt idx="28">
                  <c:v>1.43</c:v>
                </c:pt>
                <c:pt idx="29">
                  <c:v>1.43</c:v>
                </c:pt>
                <c:pt idx="30">
                  <c:v>1.43</c:v>
                </c:pt>
                <c:pt idx="31">
                  <c:v>1.43</c:v>
                </c:pt>
                <c:pt idx="32">
                  <c:v>1.43</c:v>
                </c:pt>
                <c:pt idx="33">
                  <c:v>1.43</c:v>
                </c:pt>
                <c:pt idx="34">
                  <c:v>1.43</c:v>
                </c:pt>
                <c:pt idx="35">
                  <c:v>1.43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B5-4B7A-9197-F56E007C8159}"/>
            </c:ext>
          </c:extLst>
        </c:ser>
        <c:ser>
          <c:idx val="2"/>
          <c:order val="2"/>
          <c:tx>
            <c:strRef>
              <c:f>Milk_feed!$D$3</c:f>
              <c:strCache>
                <c:ptCount val="1"/>
                <c:pt idx="0">
                  <c:v>Устойчиви приходи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Milk_feed!$A$4:$A$55</c:f>
              <c:multiLvlStrCache>
                <c:ptCount val="36"/>
                <c:lvl>
                  <c:pt idx="0">
                    <c:v>яну</c:v>
                  </c:pt>
                  <c:pt idx="1">
                    <c:v>фев</c:v>
                  </c:pt>
                  <c:pt idx="2">
                    <c:v>мар</c:v>
                  </c:pt>
                  <c:pt idx="3">
                    <c:v>апр</c:v>
                  </c:pt>
                  <c:pt idx="4">
                    <c:v>май</c:v>
                  </c:pt>
                  <c:pt idx="5">
                    <c:v>юни</c:v>
                  </c:pt>
                  <c:pt idx="6">
                    <c:v>юли</c:v>
                  </c:pt>
                  <c:pt idx="7">
                    <c:v>авг</c:v>
                  </c:pt>
                  <c:pt idx="8">
                    <c:v>сеп</c:v>
                  </c:pt>
                  <c:pt idx="9">
                    <c:v>окт</c:v>
                  </c:pt>
                  <c:pt idx="10">
                    <c:v>ное</c:v>
                  </c:pt>
                  <c:pt idx="11">
                    <c:v>дек</c:v>
                  </c:pt>
                  <c:pt idx="12">
                    <c:v>яну</c:v>
                  </c:pt>
                  <c:pt idx="13">
                    <c:v>фев</c:v>
                  </c:pt>
                  <c:pt idx="14">
                    <c:v>мар</c:v>
                  </c:pt>
                  <c:pt idx="15">
                    <c:v>апр</c:v>
                  </c:pt>
                  <c:pt idx="16">
                    <c:v>май</c:v>
                  </c:pt>
                  <c:pt idx="17">
                    <c:v>юни</c:v>
                  </c:pt>
                  <c:pt idx="18">
                    <c:v>юли</c:v>
                  </c:pt>
                  <c:pt idx="19">
                    <c:v>авг</c:v>
                  </c:pt>
                  <c:pt idx="20">
                    <c:v>сеп</c:v>
                  </c:pt>
                  <c:pt idx="21">
                    <c:v>окт</c:v>
                  </c:pt>
                  <c:pt idx="22">
                    <c:v>ное</c:v>
                  </c:pt>
                  <c:pt idx="23">
                    <c:v>дек</c:v>
                  </c:pt>
                  <c:pt idx="24">
                    <c:v>яну</c:v>
                  </c:pt>
                  <c:pt idx="25">
                    <c:v>фев</c:v>
                  </c:pt>
                  <c:pt idx="26">
                    <c:v>мар</c:v>
                  </c:pt>
                  <c:pt idx="27">
                    <c:v>апр</c:v>
                  </c:pt>
                  <c:pt idx="28">
                    <c:v>май</c:v>
                  </c:pt>
                  <c:pt idx="29">
                    <c:v>юни</c:v>
                  </c:pt>
                  <c:pt idx="30">
                    <c:v>юли</c:v>
                  </c:pt>
                  <c:pt idx="31">
                    <c:v>авг</c:v>
                  </c:pt>
                  <c:pt idx="32">
                    <c:v>сеп</c:v>
                  </c:pt>
                  <c:pt idx="33">
                    <c:v>окт</c:v>
                  </c:pt>
                  <c:pt idx="34">
                    <c:v>ное</c:v>
                  </c:pt>
                  <c:pt idx="35">
                    <c:v>дек</c:v>
                  </c:pt>
                </c:lvl>
                <c:lvl>
                  <c:pt idx="0">
                    <c:v>Трим.1</c:v>
                  </c:pt>
                  <c:pt idx="3">
                    <c:v>Трим.2</c:v>
                  </c:pt>
                  <c:pt idx="6">
                    <c:v>Трим.3</c:v>
                  </c:pt>
                  <c:pt idx="9">
                    <c:v>Трим.4</c:v>
                  </c:pt>
                  <c:pt idx="12">
                    <c:v>Трим.1</c:v>
                  </c:pt>
                  <c:pt idx="15">
                    <c:v>Трим.2</c:v>
                  </c:pt>
                  <c:pt idx="18">
                    <c:v>Трим.3</c:v>
                  </c:pt>
                  <c:pt idx="21">
                    <c:v>Трим.4</c:v>
                  </c:pt>
                  <c:pt idx="24">
                    <c:v>Трим.1</c:v>
                  </c:pt>
                  <c:pt idx="27">
                    <c:v>Трим.2</c:v>
                  </c:pt>
                  <c:pt idx="30">
                    <c:v>Трим.3</c:v>
                  </c:pt>
                  <c:pt idx="33">
                    <c:v>Трим.4</c:v>
                  </c:pt>
                </c:lvl>
                <c:lvl>
                  <c:pt idx="0">
                    <c:v>2019</c:v>
                  </c:pt>
                  <c:pt idx="12">
                    <c:v>2020</c:v>
                  </c:pt>
                  <c:pt idx="24">
                    <c:v>2021</c:v>
                  </c:pt>
                </c:lvl>
              </c:multiLvlStrCache>
            </c:multiLvlStrRef>
          </c:cat>
          <c:val>
            <c:numRef>
              <c:f>Milk_feed!$D$4:$D$55</c:f>
              <c:numCache>
                <c:formatCode>General</c:formatCode>
                <c:ptCount val="36"/>
                <c:pt idx="0">
                  <c:v>0.65</c:v>
                </c:pt>
                <c:pt idx="1">
                  <c:v>0.65</c:v>
                </c:pt>
                <c:pt idx="2">
                  <c:v>0.65</c:v>
                </c:pt>
                <c:pt idx="3">
                  <c:v>0.65</c:v>
                </c:pt>
                <c:pt idx="4">
                  <c:v>0.65</c:v>
                </c:pt>
                <c:pt idx="5">
                  <c:v>0.65</c:v>
                </c:pt>
                <c:pt idx="6">
                  <c:v>0.65</c:v>
                </c:pt>
                <c:pt idx="7">
                  <c:v>0.65</c:v>
                </c:pt>
                <c:pt idx="8">
                  <c:v>0.65</c:v>
                </c:pt>
                <c:pt idx="9">
                  <c:v>0.65</c:v>
                </c:pt>
                <c:pt idx="10">
                  <c:v>0.65</c:v>
                </c:pt>
                <c:pt idx="11">
                  <c:v>0.65</c:v>
                </c:pt>
                <c:pt idx="12">
                  <c:v>0.65</c:v>
                </c:pt>
                <c:pt idx="13">
                  <c:v>0.65</c:v>
                </c:pt>
                <c:pt idx="14">
                  <c:v>0.65</c:v>
                </c:pt>
                <c:pt idx="15">
                  <c:v>0.65</c:v>
                </c:pt>
                <c:pt idx="16">
                  <c:v>0.65</c:v>
                </c:pt>
                <c:pt idx="17">
                  <c:v>0.65</c:v>
                </c:pt>
                <c:pt idx="18">
                  <c:v>0.65</c:v>
                </c:pt>
                <c:pt idx="19">
                  <c:v>0.65</c:v>
                </c:pt>
                <c:pt idx="20">
                  <c:v>0.65</c:v>
                </c:pt>
                <c:pt idx="21">
                  <c:v>0.65</c:v>
                </c:pt>
                <c:pt idx="22">
                  <c:v>0.65</c:v>
                </c:pt>
                <c:pt idx="23">
                  <c:v>0.65</c:v>
                </c:pt>
                <c:pt idx="24">
                  <c:v>0.65</c:v>
                </c:pt>
                <c:pt idx="25">
                  <c:v>0.65</c:v>
                </c:pt>
                <c:pt idx="26">
                  <c:v>0.65</c:v>
                </c:pt>
                <c:pt idx="27">
                  <c:v>0.65</c:v>
                </c:pt>
                <c:pt idx="28">
                  <c:v>0.65</c:v>
                </c:pt>
                <c:pt idx="29">
                  <c:v>0.65</c:v>
                </c:pt>
                <c:pt idx="30">
                  <c:v>0.65</c:v>
                </c:pt>
                <c:pt idx="31">
                  <c:v>0.65</c:v>
                </c:pt>
                <c:pt idx="32">
                  <c:v>0.65</c:v>
                </c:pt>
                <c:pt idx="33">
                  <c:v>0.65</c:v>
                </c:pt>
                <c:pt idx="34">
                  <c:v>0.65</c:v>
                </c:pt>
                <c:pt idx="35">
                  <c:v>0.65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B5-4B7A-9197-F56E007C8159}"/>
            </c:ext>
          </c:extLst>
        </c:ser>
        <c:ser>
          <c:idx val="3"/>
          <c:order val="3"/>
          <c:tx>
            <c:strRef>
              <c:f>Milk_feed!$E$3</c:f>
              <c:strCache>
                <c:ptCount val="1"/>
                <c:pt idx="0">
                  <c:v>Повишени приходи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Milk_feed!$A$4:$A$55</c:f>
              <c:multiLvlStrCache>
                <c:ptCount val="36"/>
                <c:lvl>
                  <c:pt idx="0">
                    <c:v>яну</c:v>
                  </c:pt>
                  <c:pt idx="1">
                    <c:v>фев</c:v>
                  </c:pt>
                  <c:pt idx="2">
                    <c:v>мар</c:v>
                  </c:pt>
                  <c:pt idx="3">
                    <c:v>апр</c:v>
                  </c:pt>
                  <c:pt idx="4">
                    <c:v>май</c:v>
                  </c:pt>
                  <c:pt idx="5">
                    <c:v>юни</c:v>
                  </c:pt>
                  <c:pt idx="6">
                    <c:v>юли</c:v>
                  </c:pt>
                  <c:pt idx="7">
                    <c:v>авг</c:v>
                  </c:pt>
                  <c:pt idx="8">
                    <c:v>сеп</c:v>
                  </c:pt>
                  <c:pt idx="9">
                    <c:v>окт</c:v>
                  </c:pt>
                  <c:pt idx="10">
                    <c:v>ное</c:v>
                  </c:pt>
                  <c:pt idx="11">
                    <c:v>дек</c:v>
                  </c:pt>
                  <c:pt idx="12">
                    <c:v>яну</c:v>
                  </c:pt>
                  <c:pt idx="13">
                    <c:v>фев</c:v>
                  </c:pt>
                  <c:pt idx="14">
                    <c:v>мар</c:v>
                  </c:pt>
                  <c:pt idx="15">
                    <c:v>апр</c:v>
                  </c:pt>
                  <c:pt idx="16">
                    <c:v>май</c:v>
                  </c:pt>
                  <c:pt idx="17">
                    <c:v>юни</c:v>
                  </c:pt>
                  <c:pt idx="18">
                    <c:v>юли</c:v>
                  </c:pt>
                  <c:pt idx="19">
                    <c:v>авг</c:v>
                  </c:pt>
                  <c:pt idx="20">
                    <c:v>сеп</c:v>
                  </c:pt>
                  <c:pt idx="21">
                    <c:v>окт</c:v>
                  </c:pt>
                  <c:pt idx="22">
                    <c:v>ное</c:v>
                  </c:pt>
                  <c:pt idx="23">
                    <c:v>дек</c:v>
                  </c:pt>
                  <c:pt idx="24">
                    <c:v>яну</c:v>
                  </c:pt>
                  <c:pt idx="25">
                    <c:v>фев</c:v>
                  </c:pt>
                  <c:pt idx="26">
                    <c:v>мар</c:v>
                  </c:pt>
                  <c:pt idx="27">
                    <c:v>апр</c:v>
                  </c:pt>
                  <c:pt idx="28">
                    <c:v>май</c:v>
                  </c:pt>
                  <c:pt idx="29">
                    <c:v>юни</c:v>
                  </c:pt>
                  <c:pt idx="30">
                    <c:v>юли</c:v>
                  </c:pt>
                  <c:pt idx="31">
                    <c:v>авг</c:v>
                  </c:pt>
                  <c:pt idx="32">
                    <c:v>сеп</c:v>
                  </c:pt>
                  <c:pt idx="33">
                    <c:v>окт</c:v>
                  </c:pt>
                  <c:pt idx="34">
                    <c:v>ное</c:v>
                  </c:pt>
                  <c:pt idx="35">
                    <c:v>дек</c:v>
                  </c:pt>
                </c:lvl>
                <c:lvl>
                  <c:pt idx="0">
                    <c:v>Трим.1</c:v>
                  </c:pt>
                  <c:pt idx="3">
                    <c:v>Трим.2</c:v>
                  </c:pt>
                  <c:pt idx="6">
                    <c:v>Трим.3</c:v>
                  </c:pt>
                  <c:pt idx="9">
                    <c:v>Трим.4</c:v>
                  </c:pt>
                  <c:pt idx="12">
                    <c:v>Трим.1</c:v>
                  </c:pt>
                  <c:pt idx="15">
                    <c:v>Трим.2</c:v>
                  </c:pt>
                  <c:pt idx="18">
                    <c:v>Трим.3</c:v>
                  </c:pt>
                  <c:pt idx="21">
                    <c:v>Трим.4</c:v>
                  </c:pt>
                  <c:pt idx="24">
                    <c:v>Трим.1</c:v>
                  </c:pt>
                  <c:pt idx="27">
                    <c:v>Трим.2</c:v>
                  </c:pt>
                  <c:pt idx="30">
                    <c:v>Трим.3</c:v>
                  </c:pt>
                  <c:pt idx="33">
                    <c:v>Трим.4</c:v>
                  </c:pt>
                </c:lvl>
                <c:lvl>
                  <c:pt idx="0">
                    <c:v>2019</c:v>
                  </c:pt>
                  <c:pt idx="12">
                    <c:v>2020</c:v>
                  </c:pt>
                  <c:pt idx="24">
                    <c:v>2021</c:v>
                  </c:pt>
                </c:lvl>
              </c:multiLvlStrCache>
            </c:multiLvlStrRef>
          </c:cat>
          <c:val>
            <c:numRef>
              <c:f>Milk_feed!$E$4:$E$55</c:f>
              <c:numCache>
                <c:formatCode>General</c:formatCode>
                <c:ptCount val="36"/>
                <c:pt idx="0">
                  <c:v>0.64</c:v>
                </c:pt>
                <c:pt idx="1">
                  <c:v>0.64</c:v>
                </c:pt>
                <c:pt idx="2">
                  <c:v>0.64</c:v>
                </c:pt>
                <c:pt idx="3">
                  <c:v>0.64</c:v>
                </c:pt>
                <c:pt idx="4">
                  <c:v>0.64</c:v>
                </c:pt>
                <c:pt idx="5">
                  <c:v>0.64</c:v>
                </c:pt>
                <c:pt idx="6">
                  <c:v>0.64</c:v>
                </c:pt>
                <c:pt idx="7">
                  <c:v>0.64</c:v>
                </c:pt>
                <c:pt idx="8">
                  <c:v>0.64</c:v>
                </c:pt>
                <c:pt idx="9">
                  <c:v>0.64</c:v>
                </c:pt>
                <c:pt idx="10">
                  <c:v>0.64</c:v>
                </c:pt>
                <c:pt idx="11">
                  <c:v>0.64</c:v>
                </c:pt>
                <c:pt idx="12">
                  <c:v>0.64</c:v>
                </c:pt>
                <c:pt idx="13">
                  <c:v>0.64</c:v>
                </c:pt>
                <c:pt idx="14">
                  <c:v>0.64</c:v>
                </c:pt>
                <c:pt idx="15">
                  <c:v>0.64</c:v>
                </c:pt>
                <c:pt idx="16">
                  <c:v>0.64</c:v>
                </c:pt>
                <c:pt idx="17">
                  <c:v>0.64</c:v>
                </c:pt>
                <c:pt idx="18">
                  <c:v>0.64</c:v>
                </c:pt>
                <c:pt idx="19">
                  <c:v>0.64</c:v>
                </c:pt>
                <c:pt idx="20">
                  <c:v>0.64</c:v>
                </c:pt>
                <c:pt idx="21">
                  <c:v>0.64</c:v>
                </c:pt>
                <c:pt idx="22">
                  <c:v>0.64</c:v>
                </c:pt>
                <c:pt idx="23">
                  <c:v>0.64</c:v>
                </c:pt>
                <c:pt idx="24">
                  <c:v>0.64</c:v>
                </c:pt>
                <c:pt idx="25">
                  <c:v>0.64</c:v>
                </c:pt>
                <c:pt idx="26">
                  <c:v>0.64</c:v>
                </c:pt>
                <c:pt idx="27">
                  <c:v>0.64</c:v>
                </c:pt>
                <c:pt idx="28">
                  <c:v>0.64</c:v>
                </c:pt>
                <c:pt idx="29">
                  <c:v>0.64</c:v>
                </c:pt>
                <c:pt idx="30">
                  <c:v>0.64</c:v>
                </c:pt>
                <c:pt idx="31">
                  <c:v>0.64</c:v>
                </c:pt>
                <c:pt idx="32">
                  <c:v>0.64</c:v>
                </c:pt>
                <c:pt idx="33">
                  <c:v>0.64</c:v>
                </c:pt>
                <c:pt idx="34">
                  <c:v>0.64</c:v>
                </c:pt>
                <c:pt idx="35">
                  <c:v>0.64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B5-4B7A-9197-F56E007C81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453695832"/>
        <c:axId val="452833032"/>
      </c:barChart>
      <c:lineChart>
        <c:grouping val="standard"/>
        <c:varyColors val="0"/>
        <c:ser>
          <c:idx val="0"/>
          <c:order val="0"/>
          <c:tx>
            <c:strRef>
              <c:f>Milk_feed!$B$3</c:f>
              <c:strCache>
                <c:ptCount val="1"/>
                <c:pt idx="0">
                  <c:v>Съотношение Мляко/Фураж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Milk_feed!$A$4:$A$55</c:f>
              <c:multiLvlStrCache>
                <c:ptCount val="36"/>
                <c:lvl>
                  <c:pt idx="0">
                    <c:v>яну</c:v>
                  </c:pt>
                  <c:pt idx="1">
                    <c:v>фев</c:v>
                  </c:pt>
                  <c:pt idx="2">
                    <c:v>мар</c:v>
                  </c:pt>
                  <c:pt idx="3">
                    <c:v>апр</c:v>
                  </c:pt>
                  <c:pt idx="4">
                    <c:v>май</c:v>
                  </c:pt>
                  <c:pt idx="5">
                    <c:v>юни</c:v>
                  </c:pt>
                  <c:pt idx="6">
                    <c:v>юли</c:v>
                  </c:pt>
                  <c:pt idx="7">
                    <c:v>авг</c:v>
                  </c:pt>
                  <c:pt idx="8">
                    <c:v>сеп</c:v>
                  </c:pt>
                  <c:pt idx="9">
                    <c:v>окт</c:v>
                  </c:pt>
                  <c:pt idx="10">
                    <c:v>ное</c:v>
                  </c:pt>
                  <c:pt idx="11">
                    <c:v>дек</c:v>
                  </c:pt>
                  <c:pt idx="12">
                    <c:v>яну</c:v>
                  </c:pt>
                  <c:pt idx="13">
                    <c:v>фев</c:v>
                  </c:pt>
                  <c:pt idx="14">
                    <c:v>мар</c:v>
                  </c:pt>
                  <c:pt idx="15">
                    <c:v>апр</c:v>
                  </c:pt>
                  <c:pt idx="16">
                    <c:v>май</c:v>
                  </c:pt>
                  <c:pt idx="17">
                    <c:v>юни</c:v>
                  </c:pt>
                  <c:pt idx="18">
                    <c:v>юли</c:v>
                  </c:pt>
                  <c:pt idx="19">
                    <c:v>авг</c:v>
                  </c:pt>
                  <c:pt idx="20">
                    <c:v>сеп</c:v>
                  </c:pt>
                  <c:pt idx="21">
                    <c:v>окт</c:v>
                  </c:pt>
                  <c:pt idx="22">
                    <c:v>ное</c:v>
                  </c:pt>
                  <c:pt idx="23">
                    <c:v>дек</c:v>
                  </c:pt>
                  <c:pt idx="24">
                    <c:v>яну</c:v>
                  </c:pt>
                  <c:pt idx="25">
                    <c:v>фев</c:v>
                  </c:pt>
                  <c:pt idx="26">
                    <c:v>мар</c:v>
                  </c:pt>
                  <c:pt idx="27">
                    <c:v>апр</c:v>
                  </c:pt>
                  <c:pt idx="28">
                    <c:v>май</c:v>
                  </c:pt>
                  <c:pt idx="29">
                    <c:v>юни</c:v>
                  </c:pt>
                  <c:pt idx="30">
                    <c:v>юли</c:v>
                  </c:pt>
                  <c:pt idx="31">
                    <c:v>авг</c:v>
                  </c:pt>
                  <c:pt idx="32">
                    <c:v>сеп</c:v>
                  </c:pt>
                  <c:pt idx="33">
                    <c:v>окт</c:v>
                  </c:pt>
                  <c:pt idx="34">
                    <c:v>ное</c:v>
                  </c:pt>
                  <c:pt idx="35">
                    <c:v>дек</c:v>
                  </c:pt>
                </c:lvl>
                <c:lvl>
                  <c:pt idx="0">
                    <c:v>Трим.1</c:v>
                  </c:pt>
                  <c:pt idx="3">
                    <c:v>Трим.2</c:v>
                  </c:pt>
                  <c:pt idx="6">
                    <c:v>Трим.3</c:v>
                  </c:pt>
                  <c:pt idx="9">
                    <c:v>Трим.4</c:v>
                  </c:pt>
                  <c:pt idx="12">
                    <c:v>Трим.1</c:v>
                  </c:pt>
                  <c:pt idx="15">
                    <c:v>Трим.2</c:v>
                  </c:pt>
                  <c:pt idx="18">
                    <c:v>Трим.3</c:v>
                  </c:pt>
                  <c:pt idx="21">
                    <c:v>Трим.4</c:v>
                  </c:pt>
                  <c:pt idx="24">
                    <c:v>Трим.1</c:v>
                  </c:pt>
                  <c:pt idx="27">
                    <c:v>Трим.2</c:v>
                  </c:pt>
                  <c:pt idx="30">
                    <c:v>Трим.3</c:v>
                  </c:pt>
                  <c:pt idx="33">
                    <c:v>Трим.4</c:v>
                  </c:pt>
                </c:lvl>
                <c:lvl>
                  <c:pt idx="0">
                    <c:v>2019</c:v>
                  </c:pt>
                  <c:pt idx="12">
                    <c:v>2020</c:v>
                  </c:pt>
                  <c:pt idx="24">
                    <c:v>2021</c:v>
                  </c:pt>
                </c:lvl>
              </c:multiLvlStrCache>
            </c:multiLvlStrRef>
          </c:cat>
          <c:val>
            <c:numRef>
              <c:f>Milk_feed!$B$4:$B$55</c:f>
              <c:numCache>
                <c:formatCode>General</c:formatCode>
                <c:ptCount val="36"/>
                <c:pt idx="0">
                  <c:v>0.98733458372919924</c:v>
                </c:pt>
                <c:pt idx="1">
                  <c:v>1.2397789110203643</c:v>
                </c:pt>
                <c:pt idx="2">
                  <c:v>1.4713420982996925</c:v>
                </c:pt>
                <c:pt idx="3">
                  <c:v>2.3067464804160545</c:v>
                </c:pt>
                <c:pt idx="4">
                  <c:v>2.3104486016133867</c:v>
                </c:pt>
                <c:pt idx="5">
                  <c:v>2.2054087678613854</c:v>
                </c:pt>
                <c:pt idx="6">
                  <c:v>2.3835389590859184</c:v>
                </c:pt>
                <c:pt idx="7">
                  <c:v>2.7107345149509694</c:v>
                </c:pt>
                <c:pt idx="8">
                  <c:v>2.0748997529416568</c:v>
                </c:pt>
                <c:pt idx="9">
                  <c:v>1.7393287983186514</c:v>
                </c:pt>
                <c:pt idx="10">
                  <c:v>2.0942772415948991</c:v>
                </c:pt>
                <c:pt idx="11">
                  <c:v>2.5267084464617682</c:v>
                </c:pt>
                <c:pt idx="12">
                  <c:v>1.7570946222639847</c:v>
                </c:pt>
                <c:pt idx="13">
                  <c:v>1.7841733060559506</c:v>
                </c:pt>
                <c:pt idx="14">
                  <c:v>1.9012544377798193</c:v>
                </c:pt>
                <c:pt idx="15">
                  <c:v>1.8702239088903025</c:v>
                </c:pt>
                <c:pt idx="16">
                  <c:v>1.7366671241656753</c:v>
                </c:pt>
                <c:pt idx="17">
                  <c:v>1.6525606756686053</c:v>
                </c:pt>
                <c:pt idx="18">
                  <c:v>1.7186701261761372</c:v>
                </c:pt>
                <c:pt idx="19">
                  <c:v>1.6693499330923309</c:v>
                </c:pt>
                <c:pt idx="20">
                  <c:v>1.4694297621649903</c:v>
                </c:pt>
                <c:pt idx="21">
                  <c:v>1.4691820083866292</c:v>
                </c:pt>
                <c:pt idx="22">
                  <c:v>1.3680134656057359</c:v>
                </c:pt>
                <c:pt idx="23">
                  <c:v>1.3943391715113185</c:v>
                </c:pt>
                <c:pt idx="24">
                  <c:v>1.7974333997499679</c:v>
                </c:pt>
                <c:pt idx="25">
                  <c:v>1.5982515087959595</c:v>
                </c:pt>
                <c:pt idx="26">
                  <c:v>1.4312723505744962</c:v>
                </c:pt>
                <c:pt idx="27">
                  <c:v>1.375742532562098</c:v>
                </c:pt>
                <c:pt idx="28">
                  <c:v>1.9850533384160216</c:v>
                </c:pt>
                <c:pt idx="29">
                  <c:v>1.557290460947333</c:v>
                </c:pt>
                <c:pt idx="30">
                  <c:v>1.3763898194179769</c:v>
                </c:pt>
                <c:pt idx="31">
                  <c:v>1.5965158386711416</c:v>
                </c:pt>
                <c:pt idx="32">
                  <c:v>1.8333155449205736</c:v>
                </c:pt>
                <c:pt idx="33">
                  <c:v>2.0296045390029835</c:v>
                </c:pt>
                <c:pt idx="34">
                  <c:v>1.4264733073460838</c:v>
                </c:pt>
                <c:pt idx="35">
                  <c:v>1.3669830236287375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6B5-4B7A-9197-F56E007C81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5116984"/>
        <c:axId val="495116656"/>
      </c:lineChart>
      <c:catAx>
        <c:axId val="453695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2833032"/>
        <c:crosses val="autoZero"/>
        <c:auto val="1"/>
        <c:lblAlgn val="ctr"/>
        <c:lblOffset val="100"/>
        <c:noMultiLvlLbl val="0"/>
      </c:catAx>
      <c:valAx>
        <c:axId val="452833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bg-BG" baseline="0"/>
                  <a:t>Мляко/Фураж</a:t>
                </a:r>
                <a:endParaRPr lang="bg-BG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3695832"/>
        <c:crosses val="autoZero"/>
        <c:crossBetween val="between"/>
      </c:valAx>
      <c:valAx>
        <c:axId val="495116656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495116984"/>
        <c:crosses val="max"/>
        <c:crossBetween val="between"/>
      </c:valAx>
      <c:catAx>
        <c:axId val="4951169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51166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[st.zagora_dashboard4.xlsx]Product cost_liter!Обобщена таблица3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bg-BG"/>
              <a:t>Производствени</a:t>
            </a:r>
            <a:r>
              <a:rPr lang="bg-BG" baseline="0"/>
              <a:t> разходи за литър мляко</a:t>
            </a:r>
            <a:endParaRPr lang="bg-BG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'Product cost_liter'!$C$3</c:f>
              <c:strCache>
                <c:ptCount val="1"/>
                <c:pt idx="0">
                  <c:v>Нисък разход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'Product cost_liter'!$A$4:$A$55</c:f>
              <c:multiLvlStrCache>
                <c:ptCount val="36"/>
                <c:lvl>
                  <c:pt idx="0">
                    <c:v>яну</c:v>
                  </c:pt>
                  <c:pt idx="1">
                    <c:v>фев</c:v>
                  </c:pt>
                  <c:pt idx="2">
                    <c:v>мар</c:v>
                  </c:pt>
                  <c:pt idx="3">
                    <c:v>апр</c:v>
                  </c:pt>
                  <c:pt idx="4">
                    <c:v>май</c:v>
                  </c:pt>
                  <c:pt idx="5">
                    <c:v>юни</c:v>
                  </c:pt>
                  <c:pt idx="6">
                    <c:v>юли</c:v>
                  </c:pt>
                  <c:pt idx="7">
                    <c:v>авг</c:v>
                  </c:pt>
                  <c:pt idx="8">
                    <c:v>сеп</c:v>
                  </c:pt>
                  <c:pt idx="9">
                    <c:v>окт</c:v>
                  </c:pt>
                  <c:pt idx="10">
                    <c:v>ное</c:v>
                  </c:pt>
                  <c:pt idx="11">
                    <c:v>дек</c:v>
                  </c:pt>
                  <c:pt idx="12">
                    <c:v>яну</c:v>
                  </c:pt>
                  <c:pt idx="13">
                    <c:v>фев</c:v>
                  </c:pt>
                  <c:pt idx="14">
                    <c:v>мар</c:v>
                  </c:pt>
                  <c:pt idx="15">
                    <c:v>апр</c:v>
                  </c:pt>
                  <c:pt idx="16">
                    <c:v>май</c:v>
                  </c:pt>
                  <c:pt idx="17">
                    <c:v>юни</c:v>
                  </c:pt>
                  <c:pt idx="18">
                    <c:v>юли</c:v>
                  </c:pt>
                  <c:pt idx="19">
                    <c:v>авг</c:v>
                  </c:pt>
                  <c:pt idx="20">
                    <c:v>сеп</c:v>
                  </c:pt>
                  <c:pt idx="21">
                    <c:v>окт</c:v>
                  </c:pt>
                  <c:pt idx="22">
                    <c:v>ное</c:v>
                  </c:pt>
                  <c:pt idx="23">
                    <c:v>дек</c:v>
                  </c:pt>
                  <c:pt idx="24">
                    <c:v>яну</c:v>
                  </c:pt>
                  <c:pt idx="25">
                    <c:v>фев</c:v>
                  </c:pt>
                  <c:pt idx="26">
                    <c:v>мар</c:v>
                  </c:pt>
                  <c:pt idx="27">
                    <c:v>апр</c:v>
                  </c:pt>
                  <c:pt idx="28">
                    <c:v>май</c:v>
                  </c:pt>
                  <c:pt idx="29">
                    <c:v>юни</c:v>
                  </c:pt>
                  <c:pt idx="30">
                    <c:v>юли</c:v>
                  </c:pt>
                  <c:pt idx="31">
                    <c:v>авг</c:v>
                  </c:pt>
                  <c:pt idx="32">
                    <c:v>сеп</c:v>
                  </c:pt>
                  <c:pt idx="33">
                    <c:v>окт</c:v>
                  </c:pt>
                  <c:pt idx="34">
                    <c:v>ное</c:v>
                  </c:pt>
                  <c:pt idx="35">
                    <c:v>дек</c:v>
                  </c:pt>
                </c:lvl>
                <c:lvl>
                  <c:pt idx="0">
                    <c:v>Трим.1</c:v>
                  </c:pt>
                  <c:pt idx="3">
                    <c:v>Трим.2</c:v>
                  </c:pt>
                  <c:pt idx="6">
                    <c:v>Трим.3</c:v>
                  </c:pt>
                  <c:pt idx="9">
                    <c:v>Трим.4</c:v>
                  </c:pt>
                  <c:pt idx="12">
                    <c:v>Трим.1</c:v>
                  </c:pt>
                  <c:pt idx="15">
                    <c:v>Трим.2</c:v>
                  </c:pt>
                  <c:pt idx="18">
                    <c:v>Трим.3</c:v>
                  </c:pt>
                  <c:pt idx="21">
                    <c:v>Трим.4</c:v>
                  </c:pt>
                  <c:pt idx="24">
                    <c:v>Трим.1</c:v>
                  </c:pt>
                  <c:pt idx="27">
                    <c:v>Трим.2</c:v>
                  </c:pt>
                  <c:pt idx="30">
                    <c:v>Трим.3</c:v>
                  </c:pt>
                  <c:pt idx="33">
                    <c:v>Трим.4</c:v>
                  </c:pt>
                </c:lvl>
                <c:lvl>
                  <c:pt idx="0">
                    <c:v>2019</c:v>
                  </c:pt>
                  <c:pt idx="12">
                    <c:v>2020</c:v>
                  </c:pt>
                  <c:pt idx="24">
                    <c:v>2021</c:v>
                  </c:pt>
                </c:lvl>
              </c:multiLvlStrCache>
            </c:multiLvlStrRef>
          </c:cat>
          <c:val>
            <c:numRef>
              <c:f>'Product cost_liter'!$C$4:$C$55</c:f>
              <c:numCache>
                <c:formatCode>General</c:formatCode>
                <c:ptCount val="36"/>
                <c:pt idx="0">
                  <c:v>0.47</c:v>
                </c:pt>
                <c:pt idx="1">
                  <c:v>0.47</c:v>
                </c:pt>
                <c:pt idx="2">
                  <c:v>0.47</c:v>
                </c:pt>
                <c:pt idx="3">
                  <c:v>0.47</c:v>
                </c:pt>
                <c:pt idx="4">
                  <c:v>0.47</c:v>
                </c:pt>
                <c:pt idx="5">
                  <c:v>0.47</c:v>
                </c:pt>
                <c:pt idx="6">
                  <c:v>0.47</c:v>
                </c:pt>
                <c:pt idx="7">
                  <c:v>0.47</c:v>
                </c:pt>
                <c:pt idx="8">
                  <c:v>0.47</c:v>
                </c:pt>
                <c:pt idx="9">
                  <c:v>0.47</c:v>
                </c:pt>
                <c:pt idx="10">
                  <c:v>0.47</c:v>
                </c:pt>
                <c:pt idx="11">
                  <c:v>0.47</c:v>
                </c:pt>
                <c:pt idx="12">
                  <c:v>0.47</c:v>
                </c:pt>
                <c:pt idx="13">
                  <c:v>0.47</c:v>
                </c:pt>
                <c:pt idx="14">
                  <c:v>0.47</c:v>
                </c:pt>
                <c:pt idx="15">
                  <c:v>0.47</c:v>
                </c:pt>
                <c:pt idx="16">
                  <c:v>0.47</c:v>
                </c:pt>
                <c:pt idx="17">
                  <c:v>0.47</c:v>
                </c:pt>
                <c:pt idx="18">
                  <c:v>0.47</c:v>
                </c:pt>
                <c:pt idx="19">
                  <c:v>0.47</c:v>
                </c:pt>
                <c:pt idx="20">
                  <c:v>0.47</c:v>
                </c:pt>
                <c:pt idx="21">
                  <c:v>0.47</c:v>
                </c:pt>
                <c:pt idx="22">
                  <c:v>0.47</c:v>
                </c:pt>
                <c:pt idx="23">
                  <c:v>0.47</c:v>
                </c:pt>
                <c:pt idx="24">
                  <c:v>0.47</c:v>
                </c:pt>
                <c:pt idx="25">
                  <c:v>0.47</c:v>
                </c:pt>
                <c:pt idx="26">
                  <c:v>0.47</c:v>
                </c:pt>
                <c:pt idx="27">
                  <c:v>0.47</c:v>
                </c:pt>
                <c:pt idx="28">
                  <c:v>0.47</c:v>
                </c:pt>
                <c:pt idx="29">
                  <c:v>0.47</c:v>
                </c:pt>
                <c:pt idx="30">
                  <c:v>0.47</c:v>
                </c:pt>
                <c:pt idx="31">
                  <c:v>0.47</c:v>
                </c:pt>
                <c:pt idx="32">
                  <c:v>0.47</c:v>
                </c:pt>
                <c:pt idx="33">
                  <c:v>0.47</c:v>
                </c:pt>
                <c:pt idx="34">
                  <c:v>0.47</c:v>
                </c:pt>
                <c:pt idx="35">
                  <c:v>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D9-444A-836B-343223876635}"/>
            </c:ext>
          </c:extLst>
        </c:ser>
        <c:ser>
          <c:idx val="2"/>
          <c:order val="2"/>
          <c:tx>
            <c:strRef>
              <c:f>'Product cost_liter'!$D$3</c:f>
              <c:strCache>
                <c:ptCount val="1"/>
                <c:pt idx="0">
                  <c:v>Среден разход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'Product cost_liter'!$A$4:$A$55</c:f>
              <c:multiLvlStrCache>
                <c:ptCount val="36"/>
                <c:lvl>
                  <c:pt idx="0">
                    <c:v>яну</c:v>
                  </c:pt>
                  <c:pt idx="1">
                    <c:v>фев</c:v>
                  </c:pt>
                  <c:pt idx="2">
                    <c:v>мар</c:v>
                  </c:pt>
                  <c:pt idx="3">
                    <c:v>апр</c:v>
                  </c:pt>
                  <c:pt idx="4">
                    <c:v>май</c:v>
                  </c:pt>
                  <c:pt idx="5">
                    <c:v>юни</c:v>
                  </c:pt>
                  <c:pt idx="6">
                    <c:v>юли</c:v>
                  </c:pt>
                  <c:pt idx="7">
                    <c:v>авг</c:v>
                  </c:pt>
                  <c:pt idx="8">
                    <c:v>сеп</c:v>
                  </c:pt>
                  <c:pt idx="9">
                    <c:v>окт</c:v>
                  </c:pt>
                  <c:pt idx="10">
                    <c:v>ное</c:v>
                  </c:pt>
                  <c:pt idx="11">
                    <c:v>дек</c:v>
                  </c:pt>
                  <c:pt idx="12">
                    <c:v>яну</c:v>
                  </c:pt>
                  <c:pt idx="13">
                    <c:v>фев</c:v>
                  </c:pt>
                  <c:pt idx="14">
                    <c:v>мар</c:v>
                  </c:pt>
                  <c:pt idx="15">
                    <c:v>апр</c:v>
                  </c:pt>
                  <c:pt idx="16">
                    <c:v>май</c:v>
                  </c:pt>
                  <c:pt idx="17">
                    <c:v>юни</c:v>
                  </c:pt>
                  <c:pt idx="18">
                    <c:v>юли</c:v>
                  </c:pt>
                  <c:pt idx="19">
                    <c:v>авг</c:v>
                  </c:pt>
                  <c:pt idx="20">
                    <c:v>сеп</c:v>
                  </c:pt>
                  <c:pt idx="21">
                    <c:v>окт</c:v>
                  </c:pt>
                  <c:pt idx="22">
                    <c:v>ное</c:v>
                  </c:pt>
                  <c:pt idx="23">
                    <c:v>дек</c:v>
                  </c:pt>
                  <c:pt idx="24">
                    <c:v>яну</c:v>
                  </c:pt>
                  <c:pt idx="25">
                    <c:v>фев</c:v>
                  </c:pt>
                  <c:pt idx="26">
                    <c:v>мар</c:v>
                  </c:pt>
                  <c:pt idx="27">
                    <c:v>апр</c:v>
                  </c:pt>
                  <c:pt idx="28">
                    <c:v>май</c:v>
                  </c:pt>
                  <c:pt idx="29">
                    <c:v>юни</c:v>
                  </c:pt>
                  <c:pt idx="30">
                    <c:v>юли</c:v>
                  </c:pt>
                  <c:pt idx="31">
                    <c:v>авг</c:v>
                  </c:pt>
                  <c:pt idx="32">
                    <c:v>сеп</c:v>
                  </c:pt>
                  <c:pt idx="33">
                    <c:v>окт</c:v>
                  </c:pt>
                  <c:pt idx="34">
                    <c:v>ное</c:v>
                  </c:pt>
                  <c:pt idx="35">
                    <c:v>дек</c:v>
                  </c:pt>
                </c:lvl>
                <c:lvl>
                  <c:pt idx="0">
                    <c:v>Трим.1</c:v>
                  </c:pt>
                  <c:pt idx="3">
                    <c:v>Трим.2</c:v>
                  </c:pt>
                  <c:pt idx="6">
                    <c:v>Трим.3</c:v>
                  </c:pt>
                  <c:pt idx="9">
                    <c:v>Трим.4</c:v>
                  </c:pt>
                  <c:pt idx="12">
                    <c:v>Трим.1</c:v>
                  </c:pt>
                  <c:pt idx="15">
                    <c:v>Трим.2</c:v>
                  </c:pt>
                  <c:pt idx="18">
                    <c:v>Трим.3</c:v>
                  </c:pt>
                  <c:pt idx="21">
                    <c:v>Трим.4</c:v>
                  </c:pt>
                  <c:pt idx="24">
                    <c:v>Трим.1</c:v>
                  </c:pt>
                  <c:pt idx="27">
                    <c:v>Трим.2</c:v>
                  </c:pt>
                  <c:pt idx="30">
                    <c:v>Трим.3</c:v>
                  </c:pt>
                  <c:pt idx="33">
                    <c:v>Трим.4</c:v>
                  </c:pt>
                </c:lvl>
                <c:lvl>
                  <c:pt idx="0">
                    <c:v>2019</c:v>
                  </c:pt>
                  <c:pt idx="12">
                    <c:v>2020</c:v>
                  </c:pt>
                  <c:pt idx="24">
                    <c:v>2021</c:v>
                  </c:pt>
                </c:lvl>
              </c:multiLvlStrCache>
            </c:multiLvlStrRef>
          </c:cat>
          <c:val>
            <c:numRef>
              <c:f>'Product cost_liter'!$D$4:$D$55</c:f>
              <c:numCache>
                <c:formatCode>General</c:formatCode>
                <c:ptCount val="36"/>
                <c:pt idx="0">
                  <c:v>0.18</c:v>
                </c:pt>
                <c:pt idx="1">
                  <c:v>0.18</c:v>
                </c:pt>
                <c:pt idx="2">
                  <c:v>0.18</c:v>
                </c:pt>
                <c:pt idx="3">
                  <c:v>0.18</c:v>
                </c:pt>
                <c:pt idx="4">
                  <c:v>0.18</c:v>
                </c:pt>
                <c:pt idx="5">
                  <c:v>0.18</c:v>
                </c:pt>
                <c:pt idx="6">
                  <c:v>0.18</c:v>
                </c:pt>
                <c:pt idx="7">
                  <c:v>0.18</c:v>
                </c:pt>
                <c:pt idx="8">
                  <c:v>0.18</c:v>
                </c:pt>
                <c:pt idx="9">
                  <c:v>0.18</c:v>
                </c:pt>
                <c:pt idx="10">
                  <c:v>0.18</c:v>
                </c:pt>
                <c:pt idx="11">
                  <c:v>0.18</c:v>
                </c:pt>
                <c:pt idx="12">
                  <c:v>0.18</c:v>
                </c:pt>
                <c:pt idx="13">
                  <c:v>0.18</c:v>
                </c:pt>
                <c:pt idx="14">
                  <c:v>0.18</c:v>
                </c:pt>
                <c:pt idx="15">
                  <c:v>0.18</c:v>
                </c:pt>
                <c:pt idx="16">
                  <c:v>0.18</c:v>
                </c:pt>
                <c:pt idx="17">
                  <c:v>0.18</c:v>
                </c:pt>
                <c:pt idx="18">
                  <c:v>0.18</c:v>
                </c:pt>
                <c:pt idx="19">
                  <c:v>0.18</c:v>
                </c:pt>
                <c:pt idx="20">
                  <c:v>0.18</c:v>
                </c:pt>
                <c:pt idx="21">
                  <c:v>0.18</c:v>
                </c:pt>
                <c:pt idx="22">
                  <c:v>0.18</c:v>
                </c:pt>
                <c:pt idx="23">
                  <c:v>0.18</c:v>
                </c:pt>
                <c:pt idx="24">
                  <c:v>0.18</c:v>
                </c:pt>
                <c:pt idx="25">
                  <c:v>0.18</c:v>
                </c:pt>
                <c:pt idx="26">
                  <c:v>0.18</c:v>
                </c:pt>
                <c:pt idx="27">
                  <c:v>0.18</c:v>
                </c:pt>
                <c:pt idx="28">
                  <c:v>0.18</c:v>
                </c:pt>
                <c:pt idx="29">
                  <c:v>0.18</c:v>
                </c:pt>
                <c:pt idx="30">
                  <c:v>0.18</c:v>
                </c:pt>
                <c:pt idx="31">
                  <c:v>0.18</c:v>
                </c:pt>
                <c:pt idx="32">
                  <c:v>0.18</c:v>
                </c:pt>
                <c:pt idx="33">
                  <c:v>0.18</c:v>
                </c:pt>
                <c:pt idx="34">
                  <c:v>0.18</c:v>
                </c:pt>
                <c:pt idx="35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D9-444A-836B-343223876635}"/>
            </c:ext>
          </c:extLst>
        </c:ser>
        <c:ser>
          <c:idx val="3"/>
          <c:order val="3"/>
          <c:tx>
            <c:strRef>
              <c:f>'Product cost_liter'!$E$3</c:f>
              <c:strCache>
                <c:ptCount val="1"/>
                <c:pt idx="0">
                  <c:v>Висок разход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'Product cost_liter'!$A$4:$A$55</c:f>
              <c:multiLvlStrCache>
                <c:ptCount val="36"/>
                <c:lvl>
                  <c:pt idx="0">
                    <c:v>яну</c:v>
                  </c:pt>
                  <c:pt idx="1">
                    <c:v>фев</c:v>
                  </c:pt>
                  <c:pt idx="2">
                    <c:v>мар</c:v>
                  </c:pt>
                  <c:pt idx="3">
                    <c:v>апр</c:v>
                  </c:pt>
                  <c:pt idx="4">
                    <c:v>май</c:v>
                  </c:pt>
                  <c:pt idx="5">
                    <c:v>юни</c:v>
                  </c:pt>
                  <c:pt idx="6">
                    <c:v>юли</c:v>
                  </c:pt>
                  <c:pt idx="7">
                    <c:v>авг</c:v>
                  </c:pt>
                  <c:pt idx="8">
                    <c:v>сеп</c:v>
                  </c:pt>
                  <c:pt idx="9">
                    <c:v>окт</c:v>
                  </c:pt>
                  <c:pt idx="10">
                    <c:v>ное</c:v>
                  </c:pt>
                  <c:pt idx="11">
                    <c:v>дек</c:v>
                  </c:pt>
                  <c:pt idx="12">
                    <c:v>яну</c:v>
                  </c:pt>
                  <c:pt idx="13">
                    <c:v>фев</c:v>
                  </c:pt>
                  <c:pt idx="14">
                    <c:v>мар</c:v>
                  </c:pt>
                  <c:pt idx="15">
                    <c:v>апр</c:v>
                  </c:pt>
                  <c:pt idx="16">
                    <c:v>май</c:v>
                  </c:pt>
                  <c:pt idx="17">
                    <c:v>юни</c:v>
                  </c:pt>
                  <c:pt idx="18">
                    <c:v>юли</c:v>
                  </c:pt>
                  <c:pt idx="19">
                    <c:v>авг</c:v>
                  </c:pt>
                  <c:pt idx="20">
                    <c:v>сеп</c:v>
                  </c:pt>
                  <c:pt idx="21">
                    <c:v>окт</c:v>
                  </c:pt>
                  <c:pt idx="22">
                    <c:v>ное</c:v>
                  </c:pt>
                  <c:pt idx="23">
                    <c:v>дек</c:v>
                  </c:pt>
                  <c:pt idx="24">
                    <c:v>яну</c:v>
                  </c:pt>
                  <c:pt idx="25">
                    <c:v>фев</c:v>
                  </c:pt>
                  <c:pt idx="26">
                    <c:v>мар</c:v>
                  </c:pt>
                  <c:pt idx="27">
                    <c:v>апр</c:v>
                  </c:pt>
                  <c:pt idx="28">
                    <c:v>май</c:v>
                  </c:pt>
                  <c:pt idx="29">
                    <c:v>юни</c:v>
                  </c:pt>
                  <c:pt idx="30">
                    <c:v>юли</c:v>
                  </c:pt>
                  <c:pt idx="31">
                    <c:v>авг</c:v>
                  </c:pt>
                  <c:pt idx="32">
                    <c:v>сеп</c:v>
                  </c:pt>
                  <c:pt idx="33">
                    <c:v>окт</c:v>
                  </c:pt>
                  <c:pt idx="34">
                    <c:v>ное</c:v>
                  </c:pt>
                  <c:pt idx="35">
                    <c:v>дек</c:v>
                  </c:pt>
                </c:lvl>
                <c:lvl>
                  <c:pt idx="0">
                    <c:v>Трим.1</c:v>
                  </c:pt>
                  <c:pt idx="3">
                    <c:v>Трим.2</c:v>
                  </c:pt>
                  <c:pt idx="6">
                    <c:v>Трим.3</c:v>
                  </c:pt>
                  <c:pt idx="9">
                    <c:v>Трим.4</c:v>
                  </c:pt>
                  <c:pt idx="12">
                    <c:v>Трим.1</c:v>
                  </c:pt>
                  <c:pt idx="15">
                    <c:v>Трим.2</c:v>
                  </c:pt>
                  <c:pt idx="18">
                    <c:v>Трим.3</c:v>
                  </c:pt>
                  <c:pt idx="21">
                    <c:v>Трим.4</c:v>
                  </c:pt>
                  <c:pt idx="24">
                    <c:v>Трим.1</c:v>
                  </c:pt>
                  <c:pt idx="27">
                    <c:v>Трим.2</c:v>
                  </c:pt>
                  <c:pt idx="30">
                    <c:v>Трим.3</c:v>
                  </c:pt>
                  <c:pt idx="33">
                    <c:v>Трим.4</c:v>
                  </c:pt>
                </c:lvl>
                <c:lvl>
                  <c:pt idx="0">
                    <c:v>2019</c:v>
                  </c:pt>
                  <c:pt idx="12">
                    <c:v>2020</c:v>
                  </c:pt>
                  <c:pt idx="24">
                    <c:v>2021</c:v>
                  </c:pt>
                </c:lvl>
              </c:multiLvlStrCache>
            </c:multiLvlStrRef>
          </c:cat>
          <c:val>
            <c:numRef>
              <c:f>'Product cost_liter'!$E$4:$E$55</c:f>
              <c:numCache>
                <c:formatCode>General</c:formatCode>
                <c:ptCount val="36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9D9-444A-836B-3432238766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485361752"/>
        <c:axId val="485355848"/>
      </c:barChart>
      <c:lineChart>
        <c:grouping val="standard"/>
        <c:varyColors val="0"/>
        <c:ser>
          <c:idx val="0"/>
          <c:order val="0"/>
          <c:tx>
            <c:strRef>
              <c:f>'Product cost_liter'!$B$3</c:f>
              <c:strCache>
                <c:ptCount val="1"/>
                <c:pt idx="0">
                  <c:v>Произодствени разходи/литър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'Product cost_liter'!$A$4:$A$55</c:f>
              <c:multiLvlStrCache>
                <c:ptCount val="36"/>
                <c:lvl>
                  <c:pt idx="0">
                    <c:v>яну</c:v>
                  </c:pt>
                  <c:pt idx="1">
                    <c:v>фев</c:v>
                  </c:pt>
                  <c:pt idx="2">
                    <c:v>мар</c:v>
                  </c:pt>
                  <c:pt idx="3">
                    <c:v>апр</c:v>
                  </c:pt>
                  <c:pt idx="4">
                    <c:v>май</c:v>
                  </c:pt>
                  <c:pt idx="5">
                    <c:v>юни</c:v>
                  </c:pt>
                  <c:pt idx="6">
                    <c:v>юли</c:v>
                  </c:pt>
                  <c:pt idx="7">
                    <c:v>авг</c:v>
                  </c:pt>
                  <c:pt idx="8">
                    <c:v>сеп</c:v>
                  </c:pt>
                  <c:pt idx="9">
                    <c:v>окт</c:v>
                  </c:pt>
                  <c:pt idx="10">
                    <c:v>ное</c:v>
                  </c:pt>
                  <c:pt idx="11">
                    <c:v>дек</c:v>
                  </c:pt>
                  <c:pt idx="12">
                    <c:v>яну</c:v>
                  </c:pt>
                  <c:pt idx="13">
                    <c:v>фев</c:v>
                  </c:pt>
                  <c:pt idx="14">
                    <c:v>мар</c:v>
                  </c:pt>
                  <c:pt idx="15">
                    <c:v>апр</c:v>
                  </c:pt>
                  <c:pt idx="16">
                    <c:v>май</c:v>
                  </c:pt>
                  <c:pt idx="17">
                    <c:v>юни</c:v>
                  </c:pt>
                  <c:pt idx="18">
                    <c:v>юли</c:v>
                  </c:pt>
                  <c:pt idx="19">
                    <c:v>авг</c:v>
                  </c:pt>
                  <c:pt idx="20">
                    <c:v>сеп</c:v>
                  </c:pt>
                  <c:pt idx="21">
                    <c:v>окт</c:v>
                  </c:pt>
                  <c:pt idx="22">
                    <c:v>ное</c:v>
                  </c:pt>
                  <c:pt idx="23">
                    <c:v>дек</c:v>
                  </c:pt>
                  <c:pt idx="24">
                    <c:v>яну</c:v>
                  </c:pt>
                  <c:pt idx="25">
                    <c:v>фев</c:v>
                  </c:pt>
                  <c:pt idx="26">
                    <c:v>мар</c:v>
                  </c:pt>
                  <c:pt idx="27">
                    <c:v>апр</c:v>
                  </c:pt>
                  <c:pt idx="28">
                    <c:v>май</c:v>
                  </c:pt>
                  <c:pt idx="29">
                    <c:v>юни</c:v>
                  </c:pt>
                  <c:pt idx="30">
                    <c:v>юли</c:v>
                  </c:pt>
                  <c:pt idx="31">
                    <c:v>авг</c:v>
                  </c:pt>
                  <c:pt idx="32">
                    <c:v>сеп</c:v>
                  </c:pt>
                  <c:pt idx="33">
                    <c:v>окт</c:v>
                  </c:pt>
                  <c:pt idx="34">
                    <c:v>ное</c:v>
                  </c:pt>
                  <c:pt idx="35">
                    <c:v>дек</c:v>
                  </c:pt>
                </c:lvl>
                <c:lvl>
                  <c:pt idx="0">
                    <c:v>Трим.1</c:v>
                  </c:pt>
                  <c:pt idx="3">
                    <c:v>Трим.2</c:v>
                  </c:pt>
                  <c:pt idx="6">
                    <c:v>Трим.3</c:v>
                  </c:pt>
                  <c:pt idx="9">
                    <c:v>Трим.4</c:v>
                  </c:pt>
                  <c:pt idx="12">
                    <c:v>Трим.1</c:v>
                  </c:pt>
                  <c:pt idx="15">
                    <c:v>Трим.2</c:v>
                  </c:pt>
                  <c:pt idx="18">
                    <c:v>Трим.3</c:v>
                  </c:pt>
                  <c:pt idx="21">
                    <c:v>Трим.4</c:v>
                  </c:pt>
                  <c:pt idx="24">
                    <c:v>Трим.1</c:v>
                  </c:pt>
                  <c:pt idx="27">
                    <c:v>Трим.2</c:v>
                  </c:pt>
                  <c:pt idx="30">
                    <c:v>Трим.3</c:v>
                  </c:pt>
                  <c:pt idx="33">
                    <c:v>Трим.4</c:v>
                  </c:pt>
                </c:lvl>
                <c:lvl>
                  <c:pt idx="0">
                    <c:v>2019</c:v>
                  </c:pt>
                  <c:pt idx="12">
                    <c:v>2020</c:v>
                  </c:pt>
                  <c:pt idx="24">
                    <c:v>2021</c:v>
                  </c:pt>
                </c:lvl>
              </c:multiLvlStrCache>
            </c:multiLvlStrRef>
          </c:cat>
          <c:val>
            <c:numRef>
              <c:f>'Product cost_liter'!$B$4:$B$55</c:f>
              <c:numCache>
                <c:formatCode>General</c:formatCode>
                <c:ptCount val="36"/>
                <c:pt idx="0">
                  <c:v>0.85267921824622839</c:v>
                </c:pt>
                <c:pt idx="1">
                  <c:v>0.70023418945042804</c:v>
                </c:pt>
                <c:pt idx="2">
                  <c:v>0.54865305297690503</c:v>
                </c:pt>
                <c:pt idx="3">
                  <c:v>0.37498885463336729</c:v>
                </c:pt>
                <c:pt idx="4">
                  <c:v>0.37323654608639467</c:v>
                </c:pt>
                <c:pt idx="5">
                  <c:v>0.39076863559762165</c:v>
                </c:pt>
                <c:pt idx="6">
                  <c:v>0.3809852610143098</c:v>
                </c:pt>
                <c:pt idx="7">
                  <c:v>0.33386235825147537</c:v>
                </c:pt>
                <c:pt idx="8">
                  <c:v>0.41787238260438608</c:v>
                </c:pt>
                <c:pt idx="9">
                  <c:v>0.53425823412367579</c:v>
                </c:pt>
                <c:pt idx="10">
                  <c:v>0.46689169823156162</c:v>
                </c:pt>
                <c:pt idx="11">
                  <c:v>0.3964907613427493</c:v>
                </c:pt>
                <c:pt idx="12">
                  <c:v>0.56477418284810277</c:v>
                </c:pt>
                <c:pt idx="13">
                  <c:v>0.57164482547458662</c:v>
                </c:pt>
                <c:pt idx="14">
                  <c:v>0.51753498004940157</c:v>
                </c:pt>
                <c:pt idx="15">
                  <c:v>0.53054534598036007</c:v>
                </c:pt>
                <c:pt idx="16">
                  <c:v>0.49524772315266308</c:v>
                </c:pt>
                <c:pt idx="17">
                  <c:v>0.54654453364518474</c:v>
                </c:pt>
                <c:pt idx="18">
                  <c:v>0.53839811027593099</c:v>
                </c:pt>
                <c:pt idx="19">
                  <c:v>0.51809648048749224</c:v>
                </c:pt>
                <c:pt idx="20">
                  <c:v>0.57415574787542034</c:v>
                </c:pt>
                <c:pt idx="21">
                  <c:v>0.60422624383002721</c:v>
                </c:pt>
                <c:pt idx="22">
                  <c:v>0.73743640962933243</c:v>
                </c:pt>
                <c:pt idx="23">
                  <c:v>0.6765506680850456</c:v>
                </c:pt>
                <c:pt idx="24">
                  <c:v>0.53607300871322761</c:v>
                </c:pt>
                <c:pt idx="25">
                  <c:v>0.5933343108386594</c:v>
                </c:pt>
                <c:pt idx="26">
                  <c:v>0.64180519338072173</c:v>
                </c:pt>
                <c:pt idx="27">
                  <c:v>0.65068187497901897</c:v>
                </c:pt>
                <c:pt idx="28">
                  <c:v>0.4788055072670544</c:v>
                </c:pt>
                <c:pt idx="29">
                  <c:v>0.61985241349850484</c:v>
                </c:pt>
                <c:pt idx="30">
                  <c:v>0.69683436715753588</c:v>
                </c:pt>
                <c:pt idx="31">
                  <c:v>0.6495639551192145</c:v>
                </c:pt>
                <c:pt idx="32">
                  <c:v>0.58222169930166334</c:v>
                </c:pt>
                <c:pt idx="33">
                  <c:v>0.5718796872967935</c:v>
                </c:pt>
                <c:pt idx="34">
                  <c:v>0.78315438368776136</c:v>
                </c:pt>
                <c:pt idx="35">
                  <c:v>0.79511521696009135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9D9-444A-836B-3432238766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947168"/>
        <c:axId val="489954712"/>
      </c:lineChart>
      <c:catAx>
        <c:axId val="485361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5355848"/>
        <c:crosses val="autoZero"/>
        <c:auto val="1"/>
        <c:lblAlgn val="ctr"/>
        <c:lblOffset val="100"/>
        <c:noMultiLvlLbl val="0"/>
      </c:catAx>
      <c:valAx>
        <c:axId val="485355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bg-BG"/>
                  <a:t>лв./литър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5361752"/>
        <c:crosses val="autoZero"/>
        <c:crossBetween val="between"/>
      </c:valAx>
      <c:valAx>
        <c:axId val="489954712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489947168"/>
        <c:crosses val="max"/>
        <c:crossBetween val="between"/>
      </c:valAx>
      <c:catAx>
        <c:axId val="4899471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99547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[st.zagora_dashboard4.xlsx]Mounth income!Обобщена таблица2</c:name>
    <c:fmtId val="7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bg-BG"/>
              <a:t>Месечен</a:t>
            </a:r>
            <a:r>
              <a:rPr lang="bg-BG" baseline="0"/>
              <a:t> приход на кравефермата</a:t>
            </a:r>
            <a:endParaRPr lang="bg-BG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rgbClr val="4472C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4472C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rgbClr val="4472C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'Mounth income'!$B$3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  <a:effectLst/>
          </c:spPr>
          <c:invertIfNegative val="1"/>
          <c:cat>
            <c:multiLvlStrRef>
              <c:f>'Mounth income'!$A$4:$A$55</c:f>
              <c:multiLvlStrCache>
                <c:ptCount val="36"/>
                <c:lvl>
                  <c:pt idx="0">
                    <c:v>яну</c:v>
                  </c:pt>
                  <c:pt idx="1">
                    <c:v>фев</c:v>
                  </c:pt>
                  <c:pt idx="2">
                    <c:v>мар</c:v>
                  </c:pt>
                  <c:pt idx="3">
                    <c:v>апр</c:v>
                  </c:pt>
                  <c:pt idx="4">
                    <c:v>май</c:v>
                  </c:pt>
                  <c:pt idx="5">
                    <c:v>юни</c:v>
                  </c:pt>
                  <c:pt idx="6">
                    <c:v>юли</c:v>
                  </c:pt>
                  <c:pt idx="7">
                    <c:v>авг</c:v>
                  </c:pt>
                  <c:pt idx="8">
                    <c:v>сеп</c:v>
                  </c:pt>
                  <c:pt idx="9">
                    <c:v>окт</c:v>
                  </c:pt>
                  <c:pt idx="10">
                    <c:v>ное</c:v>
                  </c:pt>
                  <c:pt idx="11">
                    <c:v>дек</c:v>
                  </c:pt>
                  <c:pt idx="12">
                    <c:v>яну</c:v>
                  </c:pt>
                  <c:pt idx="13">
                    <c:v>фев</c:v>
                  </c:pt>
                  <c:pt idx="14">
                    <c:v>мар</c:v>
                  </c:pt>
                  <c:pt idx="15">
                    <c:v>апр</c:v>
                  </c:pt>
                  <c:pt idx="16">
                    <c:v>май</c:v>
                  </c:pt>
                  <c:pt idx="17">
                    <c:v>юни</c:v>
                  </c:pt>
                  <c:pt idx="18">
                    <c:v>юли</c:v>
                  </c:pt>
                  <c:pt idx="19">
                    <c:v>авг</c:v>
                  </c:pt>
                  <c:pt idx="20">
                    <c:v>сеп</c:v>
                  </c:pt>
                  <c:pt idx="21">
                    <c:v>окт</c:v>
                  </c:pt>
                  <c:pt idx="22">
                    <c:v>ное</c:v>
                  </c:pt>
                  <c:pt idx="23">
                    <c:v>дек</c:v>
                  </c:pt>
                  <c:pt idx="24">
                    <c:v>яну</c:v>
                  </c:pt>
                  <c:pt idx="25">
                    <c:v>фев</c:v>
                  </c:pt>
                  <c:pt idx="26">
                    <c:v>мар</c:v>
                  </c:pt>
                  <c:pt idx="27">
                    <c:v>апр</c:v>
                  </c:pt>
                  <c:pt idx="28">
                    <c:v>май</c:v>
                  </c:pt>
                  <c:pt idx="29">
                    <c:v>юни</c:v>
                  </c:pt>
                  <c:pt idx="30">
                    <c:v>юли</c:v>
                  </c:pt>
                  <c:pt idx="31">
                    <c:v>авг</c:v>
                  </c:pt>
                  <c:pt idx="32">
                    <c:v>сеп</c:v>
                  </c:pt>
                  <c:pt idx="33">
                    <c:v>окт</c:v>
                  </c:pt>
                  <c:pt idx="34">
                    <c:v>ное</c:v>
                  </c:pt>
                  <c:pt idx="35">
                    <c:v>дек</c:v>
                  </c:pt>
                </c:lvl>
                <c:lvl>
                  <c:pt idx="0">
                    <c:v>Трим.1</c:v>
                  </c:pt>
                  <c:pt idx="3">
                    <c:v>Трим.2</c:v>
                  </c:pt>
                  <c:pt idx="6">
                    <c:v>Трим.3</c:v>
                  </c:pt>
                  <c:pt idx="9">
                    <c:v>Трим.4</c:v>
                  </c:pt>
                  <c:pt idx="12">
                    <c:v>Трим.1</c:v>
                  </c:pt>
                  <c:pt idx="15">
                    <c:v>Трим.2</c:v>
                  </c:pt>
                  <c:pt idx="18">
                    <c:v>Трим.3</c:v>
                  </c:pt>
                  <c:pt idx="21">
                    <c:v>Трим.4</c:v>
                  </c:pt>
                  <c:pt idx="24">
                    <c:v>Трим.1</c:v>
                  </c:pt>
                  <c:pt idx="27">
                    <c:v>Трим.2</c:v>
                  </c:pt>
                  <c:pt idx="30">
                    <c:v>Трим.3</c:v>
                  </c:pt>
                  <c:pt idx="33">
                    <c:v>Трим.4</c:v>
                  </c:pt>
                </c:lvl>
                <c:lvl>
                  <c:pt idx="0">
                    <c:v>2019</c:v>
                  </c:pt>
                  <c:pt idx="12">
                    <c:v>2020</c:v>
                  </c:pt>
                  <c:pt idx="24">
                    <c:v>2021</c:v>
                  </c:pt>
                </c:lvl>
              </c:multiLvlStrCache>
            </c:multiLvlStrRef>
          </c:cat>
          <c:val>
            <c:numRef>
              <c:f>'Mounth income'!$B$4:$B$55</c:f>
              <c:numCache>
                <c:formatCode>General</c:formatCode>
                <c:ptCount val="36"/>
                <c:pt idx="0">
                  <c:v>-32616.01999999999</c:v>
                </c:pt>
                <c:pt idx="1">
                  <c:v>-15815.289999999979</c:v>
                </c:pt>
                <c:pt idx="2">
                  <c:v>-10403.690000000002</c:v>
                </c:pt>
                <c:pt idx="3">
                  <c:v>104427.94</c:v>
                </c:pt>
                <c:pt idx="4">
                  <c:v>45592.889999999985</c:v>
                </c:pt>
                <c:pt idx="5">
                  <c:v>10611.149999999994</c:v>
                </c:pt>
                <c:pt idx="6">
                  <c:v>3095.210000000021</c:v>
                </c:pt>
                <c:pt idx="7">
                  <c:v>44741.859999999986</c:v>
                </c:pt>
                <c:pt idx="8">
                  <c:v>8117.5800000000163</c:v>
                </c:pt>
                <c:pt idx="9">
                  <c:v>4862.4200000000128</c:v>
                </c:pt>
                <c:pt idx="10">
                  <c:v>21164.680000000051</c:v>
                </c:pt>
                <c:pt idx="11">
                  <c:v>139744.69</c:v>
                </c:pt>
                <c:pt idx="12">
                  <c:v>109103.59</c:v>
                </c:pt>
                <c:pt idx="13">
                  <c:v>-10986.630000000005</c:v>
                </c:pt>
                <c:pt idx="14">
                  <c:v>55607.739999999991</c:v>
                </c:pt>
                <c:pt idx="15">
                  <c:v>67911.580000000016</c:v>
                </c:pt>
                <c:pt idx="16">
                  <c:v>31806.920000000042</c:v>
                </c:pt>
                <c:pt idx="17">
                  <c:v>46298.380000000005</c:v>
                </c:pt>
                <c:pt idx="18">
                  <c:v>8479.5499999999884</c:v>
                </c:pt>
                <c:pt idx="19">
                  <c:v>33012.26999999999</c:v>
                </c:pt>
                <c:pt idx="20">
                  <c:v>4157.7700000000186</c:v>
                </c:pt>
                <c:pt idx="21">
                  <c:v>-3619.6100000000151</c:v>
                </c:pt>
                <c:pt idx="22">
                  <c:v>18077.02999999997</c:v>
                </c:pt>
                <c:pt idx="23">
                  <c:v>247057.53</c:v>
                </c:pt>
                <c:pt idx="24">
                  <c:v>51816.44</c:v>
                </c:pt>
                <c:pt idx="25">
                  <c:v>19480.080000000016</c:v>
                </c:pt>
                <c:pt idx="26">
                  <c:v>11933.869999999995</c:v>
                </c:pt>
                <c:pt idx="27">
                  <c:v>79142.110000000015</c:v>
                </c:pt>
                <c:pt idx="28">
                  <c:v>69894.669999999984</c:v>
                </c:pt>
                <c:pt idx="29">
                  <c:v>27011.839999999997</c:v>
                </c:pt>
                <c:pt idx="30">
                  <c:v>-61824.520000000019</c:v>
                </c:pt>
                <c:pt idx="31">
                  <c:v>25084.97000000003</c:v>
                </c:pt>
                <c:pt idx="32">
                  <c:v>60809.059999999983</c:v>
                </c:pt>
                <c:pt idx="33">
                  <c:v>44925.100000000006</c:v>
                </c:pt>
                <c:pt idx="34">
                  <c:v>41982.74000000002</c:v>
                </c:pt>
                <c:pt idx="35">
                  <c:v>214863.01000000007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DECB-4E7D-93A4-818D1838BE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9944216"/>
        <c:axId val="489944544"/>
      </c:barChart>
      <c:catAx>
        <c:axId val="489944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9944544"/>
        <c:crosses val="autoZero"/>
        <c:auto val="1"/>
        <c:lblAlgn val="ctr"/>
        <c:lblOffset val="100"/>
        <c:noMultiLvlLbl val="0"/>
      </c:catAx>
      <c:valAx>
        <c:axId val="48994454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99442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[st.zagora_dashboard4.xlsx]Profit_income!Обобщена таблица7</c:name>
    <c:fmtId val="6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bg-BG"/>
              <a:t>Съотношение печалба/приход</a:t>
            </a:r>
          </a:p>
        </c:rich>
      </c:tx>
      <c:layout>
        <c:manualLayout>
          <c:xMode val="edge"/>
          <c:yMode val="edge"/>
          <c:x val="0.10054474708171209"/>
          <c:y val="3.24074074074074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Profit_income!$C$3</c:f>
              <c:strCache>
                <c:ptCount val="1"/>
                <c:pt idx="0">
                  <c:v>Ниска Печалба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Profit_income!$A$4:$A$19</c:f>
              <c:multiLvlStrCache>
                <c:ptCount val="12"/>
                <c:lvl>
                  <c:pt idx="0">
                    <c:v>Трим.1</c:v>
                  </c:pt>
                  <c:pt idx="1">
                    <c:v>Трим.2</c:v>
                  </c:pt>
                  <c:pt idx="2">
                    <c:v>Трим.3</c:v>
                  </c:pt>
                  <c:pt idx="3">
                    <c:v>Трим.4</c:v>
                  </c:pt>
                  <c:pt idx="4">
                    <c:v>Трим.1</c:v>
                  </c:pt>
                  <c:pt idx="5">
                    <c:v>Трим.2</c:v>
                  </c:pt>
                  <c:pt idx="6">
                    <c:v>Трим.3</c:v>
                  </c:pt>
                  <c:pt idx="7">
                    <c:v>Трим.4</c:v>
                  </c:pt>
                  <c:pt idx="8">
                    <c:v>Трим.1</c:v>
                  </c:pt>
                  <c:pt idx="9">
                    <c:v>Трим.2</c:v>
                  </c:pt>
                  <c:pt idx="10">
                    <c:v>Трим.3</c:v>
                  </c:pt>
                  <c:pt idx="11">
                    <c:v>Трим.4</c:v>
                  </c:pt>
                </c:lvl>
                <c:lvl>
                  <c:pt idx="0">
                    <c:v>2019</c:v>
                  </c:pt>
                  <c:pt idx="4">
                    <c:v>2020</c:v>
                  </c:pt>
                  <c:pt idx="8">
                    <c:v>2021</c:v>
                  </c:pt>
                </c:lvl>
              </c:multiLvlStrCache>
            </c:multiLvlStrRef>
          </c:cat>
          <c:val>
            <c:numRef>
              <c:f>Profit_income!$C$4:$C$19</c:f>
              <c:numCache>
                <c:formatCode>0%</c:formatCode>
                <c:ptCount val="12"/>
                <c:pt idx="0">
                  <c:v>0.06</c:v>
                </c:pt>
                <c:pt idx="1">
                  <c:v>0.06</c:v>
                </c:pt>
                <c:pt idx="2">
                  <c:v>0.06</c:v>
                </c:pt>
                <c:pt idx="3">
                  <c:v>0.06</c:v>
                </c:pt>
                <c:pt idx="4">
                  <c:v>0.06</c:v>
                </c:pt>
                <c:pt idx="5">
                  <c:v>0.06</c:v>
                </c:pt>
                <c:pt idx="6">
                  <c:v>0.06</c:v>
                </c:pt>
                <c:pt idx="7">
                  <c:v>0.06</c:v>
                </c:pt>
                <c:pt idx="8">
                  <c:v>0.06</c:v>
                </c:pt>
                <c:pt idx="9">
                  <c:v>0.06</c:v>
                </c:pt>
                <c:pt idx="10">
                  <c:v>0.06</c:v>
                </c:pt>
                <c:pt idx="11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74-4AB2-9B85-F93CD48DB57F}"/>
            </c:ext>
          </c:extLst>
        </c:ser>
        <c:ser>
          <c:idx val="2"/>
          <c:order val="2"/>
          <c:tx>
            <c:strRef>
              <c:f>Profit_income!$D$3</c:f>
              <c:strCache>
                <c:ptCount val="1"/>
                <c:pt idx="0">
                  <c:v>Средна Печалба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Profit_income!$A$4:$A$19</c:f>
              <c:multiLvlStrCache>
                <c:ptCount val="12"/>
                <c:lvl>
                  <c:pt idx="0">
                    <c:v>Трим.1</c:v>
                  </c:pt>
                  <c:pt idx="1">
                    <c:v>Трим.2</c:v>
                  </c:pt>
                  <c:pt idx="2">
                    <c:v>Трим.3</c:v>
                  </c:pt>
                  <c:pt idx="3">
                    <c:v>Трим.4</c:v>
                  </c:pt>
                  <c:pt idx="4">
                    <c:v>Трим.1</c:v>
                  </c:pt>
                  <c:pt idx="5">
                    <c:v>Трим.2</c:v>
                  </c:pt>
                  <c:pt idx="6">
                    <c:v>Трим.3</c:v>
                  </c:pt>
                  <c:pt idx="7">
                    <c:v>Трим.4</c:v>
                  </c:pt>
                  <c:pt idx="8">
                    <c:v>Трим.1</c:v>
                  </c:pt>
                  <c:pt idx="9">
                    <c:v>Трим.2</c:v>
                  </c:pt>
                  <c:pt idx="10">
                    <c:v>Трим.3</c:v>
                  </c:pt>
                  <c:pt idx="11">
                    <c:v>Трим.4</c:v>
                  </c:pt>
                </c:lvl>
                <c:lvl>
                  <c:pt idx="0">
                    <c:v>2019</c:v>
                  </c:pt>
                  <c:pt idx="4">
                    <c:v>2020</c:v>
                  </c:pt>
                  <c:pt idx="8">
                    <c:v>2021</c:v>
                  </c:pt>
                </c:lvl>
              </c:multiLvlStrCache>
            </c:multiLvlStrRef>
          </c:cat>
          <c:val>
            <c:numRef>
              <c:f>Profit_income!$D$4:$D$19</c:f>
              <c:numCache>
                <c:formatCode>0%</c:formatCode>
                <c:ptCount val="12"/>
                <c:pt idx="0">
                  <c:v>0.81</c:v>
                </c:pt>
                <c:pt idx="1">
                  <c:v>0.81</c:v>
                </c:pt>
                <c:pt idx="2">
                  <c:v>0.81</c:v>
                </c:pt>
                <c:pt idx="3">
                  <c:v>0.81</c:v>
                </c:pt>
                <c:pt idx="4">
                  <c:v>0.81</c:v>
                </c:pt>
                <c:pt idx="5">
                  <c:v>0.81</c:v>
                </c:pt>
                <c:pt idx="6">
                  <c:v>0.81</c:v>
                </c:pt>
                <c:pt idx="7">
                  <c:v>0.81</c:v>
                </c:pt>
                <c:pt idx="8">
                  <c:v>0.81</c:v>
                </c:pt>
                <c:pt idx="9">
                  <c:v>0.81</c:v>
                </c:pt>
                <c:pt idx="10">
                  <c:v>0.81</c:v>
                </c:pt>
                <c:pt idx="11">
                  <c:v>0.81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D74-4AB2-9B85-F93CD48DB57F}"/>
            </c:ext>
          </c:extLst>
        </c:ser>
        <c:ser>
          <c:idx val="3"/>
          <c:order val="3"/>
          <c:tx>
            <c:strRef>
              <c:f>Profit_income!$E$3</c:f>
              <c:strCache>
                <c:ptCount val="1"/>
                <c:pt idx="0">
                  <c:v>Висока Печалба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Profit_income!$A$4:$A$19</c:f>
              <c:multiLvlStrCache>
                <c:ptCount val="12"/>
                <c:lvl>
                  <c:pt idx="0">
                    <c:v>Трим.1</c:v>
                  </c:pt>
                  <c:pt idx="1">
                    <c:v>Трим.2</c:v>
                  </c:pt>
                  <c:pt idx="2">
                    <c:v>Трим.3</c:v>
                  </c:pt>
                  <c:pt idx="3">
                    <c:v>Трим.4</c:v>
                  </c:pt>
                  <c:pt idx="4">
                    <c:v>Трим.1</c:v>
                  </c:pt>
                  <c:pt idx="5">
                    <c:v>Трим.2</c:v>
                  </c:pt>
                  <c:pt idx="6">
                    <c:v>Трим.3</c:v>
                  </c:pt>
                  <c:pt idx="7">
                    <c:v>Трим.4</c:v>
                  </c:pt>
                  <c:pt idx="8">
                    <c:v>Трим.1</c:v>
                  </c:pt>
                  <c:pt idx="9">
                    <c:v>Трим.2</c:v>
                  </c:pt>
                  <c:pt idx="10">
                    <c:v>Трим.3</c:v>
                  </c:pt>
                  <c:pt idx="11">
                    <c:v>Трим.4</c:v>
                  </c:pt>
                </c:lvl>
                <c:lvl>
                  <c:pt idx="0">
                    <c:v>2019</c:v>
                  </c:pt>
                  <c:pt idx="4">
                    <c:v>2020</c:v>
                  </c:pt>
                  <c:pt idx="8">
                    <c:v>2021</c:v>
                  </c:pt>
                </c:lvl>
              </c:multiLvlStrCache>
            </c:multiLvlStrRef>
          </c:cat>
          <c:val>
            <c:numRef>
              <c:f>Profit_income!$E$4:$E$19</c:f>
              <c:numCache>
                <c:formatCode>0%</c:formatCode>
                <c:ptCount val="12"/>
                <c:pt idx="0">
                  <c:v>0.86999999999999988</c:v>
                </c:pt>
                <c:pt idx="1">
                  <c:v>0.86999999999999988</c:v>
                </c:pt>
                <c:pt idx="2">
                  <c:v>0.86999999999999988</c:v>
                </c:pt>
                <c:pt idx="3">
                  <c:v>0.86999999999999988</c:v>
                </c:pt>
                <c:pt idx="4">
                  <c:v>0.86999999999999988</c:v>
                </c:pt>
                <c:pt idx="5">
                  <c:v>0.86999999999999988</c:v>
                </c:pt>
                <c:pt idx="6">
                  <c:v>0.86999999999999988</c:v>
                </c:pt>
                <c:pt idx="7">
                  <c:v>0.86999999999999988</c:v>
                </c:pt>
                <c:pt idx="8">
                  <c:v>0.86999999999999988</c:v>
                </c:pt>
                <c:pt idx="9">
                  <c:v>0.86999999999999988</c:v>
                </c:pt>
                <c:pt idx="10">
                  <c:v>0.86999999999999988</c:v>
                </c:pt>
                <c:pt idx="11">
                  <c:v>0.86999999999999988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D74-4AB2-9B85-F93CD48DB57F}"/>
            </c:ext>
          </c:extLst>
        </c:ser>
        <c:ser>
          <c:idx val="4"/>
          <c:order val="4"/>
          <c:tx>
            <c:strRef>
              <c:f>Profit_income!$F$3</c:f>
              <c:strCache>
                <c:ptCount val="1"/>
                <c:pt idx="0">
                  <c:v>Сума от Загуби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Profit_income!$A$4:$A$19</c:f>
              <c:multiLvlStrCache>
                <c:ptCount val="12"/>
                <c:lvl>
                  <c:pt idx="0">
                    <c:v>Трим.1</c:v>
                  </c:pt>
                  <c:pt idx="1">
                    <c:v>Трим.2</c:v>
                  </c:pt>
                  <c:pt idx="2">
                    <c:v>Трим.3</c:v>
                  </c:pt>
                  <c:pt idx="3">
                    <c:v>Трим.4</c:v>
                  </c:pt>
                  <c:pt idx="4">
                    <c:v>Трим.1</c:v>
                  </c:pt>
                  <c:pt idx="5">
                    <c:v>Трим.2</c:v>
                  </c:pt>
                  <c:pt idx="6">
                    <c:v>Трим.3</c:v>
                  </c:pt>
                  <c:pt idx="7">
                    <c:v>Трим.4</c:v>
                  </c:pt>
                  <c:pt idx="8">
                    <c:v>Трим.1</c:v>
                  </c:pt>
                  <c:pt idx="9">
                    <c:v>Трим.2</c:v>
                  </c:pt>
                  <c:pt idx="10">
                    <c:v>Трим.3</c:v>
                  </c:pt>
                  <c:pt idx="11">
                    <c:v>Трим.4</c:v>
                  </c:pt>
                </c:lvl>
                <c:lvl>
                  <c:pt idx="0">
                    <c:v>2019</c:v>
                  </c:pt>
                  <c:pt idx="4">
                    <c:v>2020</c:v>
                  </c:pt>
                  <c:pt idx="8">
                    <c:v>2021</c:v>
                  </c:pt>
                </c:lvl>
              </c:multiLvlStrCache>
            </c:multiLvlStrRef>
          </c:cat>
          <c:val>
            <c:numRef>
              <c:f>Profit_income!$F$4:$F$19</c:f>
              <c:numCache>
                <c:formatCode>0%</c:formatCode>
                <c:ptCount val="12"/>
                <c:pt idx="0">
                  <c:v>-1.35</c:v>
                </c:pt>
                <c:pt idx="1">
                  <c:v>-1.35</c:v>
                </c:pt>
                <c:pt idx="2">
                  <c:v>-1.35</c:v>
                </c:pt>
                <c:pt idx="3">
                  <c:v>-1.35</c:v>
                </c:pt>
                <c:pt idx="4">
                  <c:v>-1.35</c:v>
                </c:pt>
                <c:pt idx="5">
                  <c:v>-1.35</c:v>
                </c:pt>
                <c:pt idx="6">
                  <c:v>-1.35</c:v>
                </c:pt>
                <c:pt idx="7">
                  <c:v>-1.35</c:v>
                </c:pt>
                <c:pt idx="8">
                  <c:v>-1.35</c:v>
                </c:pt>
                <c:pt idx="9">
                  <c:v>-1.35</c:v>
                </c:pt>
                <c:pt idx="10">
                  <c:v>-1.35</c:v>
                </c:pt>
                <c:pt idx="11">
                  <c:v>-1.35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D74-4AB2-9B85-F93CD48DB5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75356352"/>
        <c:axId val="375351760"/>
      </c:barChart>
      <c:lineChart>
        <c:grouping val="standard"/>
        <c:varyColors val="0"/>
        <c:ser>
          <c:idx val="0"/>
          <c:order val="0"/>
          <c:tx>
            <c:strRef>
              <c:f>Profit_income!$B$3</c:f>
              <c:strCache>
                <c:ptCount val="1"/>
                <c:pt idx="0">
                  <c:v>Съот. печалба/приход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Profit_income!$A$4:$A$19</c:f>
              <c:multiLvlStrCache>
                <c:ptCount val="12"/>
                <c:lvl>
                  <c:pt idx="0">
                    <c:v>Трим.1</c:v>
                  </c:pt>
                  <c:pt idx="1">
                    <c:v>Трим.2</c:v>
                  </c:pt>
                  <c:pt idx="2">
                    <c:v>Трим.3</c:v>
                  </c:pt>
                  <c:pt idx="3">
                    <c:v>Трим.4</c:v>
                  </c:pt>
                  <c:pt idx="4">
                    <c:v>Трим.1</c:v>
                  </c:pt>
                  <c:pt idx="5">
                    <c:v>Трим.2</c:v>
                  </c:pt>
                  <c:pt idx="6">
                    <c:v>Трим.3</c:v>
                  </c:pt>
                  <c:pt idx="7">
                    <c:v>Трим.4</c:v>
                  </c:pt>
                  <c:pt idx="8">
                    <c:v>Трим.1</c:v>
                  </c:pt>
                  <c:pt idx="9">
                    <c:v>Трим.2</c:v>
                  </c:pt>
                  <c:pt idx="10">
                    <c:v>Трим.3</c:v>
                  </c:pt>
                  <c:pt idx="11">
                    <c:v>Трим.4</c:v>
                  </c:pt>
                </c:lvl>
                <c:lvl>
                  <c:pt idx="0">
                    <c:v>2019</c:v>
                  </c:pt>
                  <c:pt idx="4">
                    <c:v>2020</c:v>
                  </c:pt>
                  <c:pt idx="8">
                    <c:v>2021</c:v>
                  </c:pt>
                </c:lvl>
              </c:multiLvlStrCache>
            </c:multiLvlStrRef>
          </c:cat>
          <c:val>
            <c:numRef>
              <c:f>Profit_income!$B$4:$B$19</c:f>
              <c:numCache>
                <c:formatCode>0%</c:formatCode>
                <c:ptCount val="12"/>
                <c:pt idx="0">
                  <c:v>-0.70877831008352732</c:v>
                </c:pt>
                <c:pt idx="1">
                  <c:v>0.87569773494170455</c:v>
                </c:pt>
                <c:pt idx="2">
                  <c:v>0.3690512590753075</c:v>
                </c:pt>
                <c:pt idx="3">
                  <c:v>0.63087076719615598</c:v>
                </c:pt>
                <c:pt idx="4">
                  <c:v>0.55736274457036594</c:v>
                </c:pt>
                <c:pt idx="5">
                  <c:v>0.63077854154671464</c:v>
                </c:pt>
                <c:pt idx="6">
                  <c:v>0.21073948674995807</c:v>
                </c:pt>
                <c:pt idx="7">
                  <c:v>0.65174735342709245</c:v>
                </c:pt>
                <c:pt idx="8">
                  <c:v>0.42755426600012614</c:v>
                </c:pt>
                <c:pt idx="9">
                  <c:v>0.78257466585197077</c:v>
                </c:pt>
                <c:pt idx="10">
                  <c:v>7.5883024746346228E-2</c:v>
                </c:pt>
                <c:pt idx="11">
                  <c:v>0.92382162927539924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D74-4AB2-9B85-F93CD48DB5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5356352"/>
        <c:axId val="375351760"/>
      </c:lineChart>
      <c:catAx>
        <c:axId val="375356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5351760"/>
        <c:crosses val="autoZero"/>
        <c:auto val="1"/>
        <c:lblAlgn val="ctr"/>
        <c:lblOffset val="100"/>
        <c:noMultiLvlLbl val="0"/>
      </c:catAx>
      <c:valAx>
        <c:axId val="375351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bg-BG"/>
                  <a:t>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5356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[st.zagora_dashboard4.xlsx]Profit_liter!Обобщена таблица1</c:name>
    <c:fmtId val="4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bg-BG"/>
              <a:t>Печалба </a:t>
            </a:r>
            <a:r>
              <a:rPr lang="bg-BG" baseline="0"/>
              <a:t>/ литър</a:t>
            </a:r>
            <a:endParaRPr lang="bg-BG"/>
          </a:p>
        </c:rich>
      </c:tx>
      <c:layout>
        <c:manualLayout>
          <c:xMode val="edge"/>
          <c:yMode val="edge"/>
          <c:x val="0.30921420536718625"/>
          <c:y val="4.25909454556430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2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bg1">
              <a:lumMod val="85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bg1">
              <a:lumMod val="85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2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bg1">
              <a:lumMod val="85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Profit_liter!$C$3</c:f>
              <c:strCache>
                <c:ptCount val="1"/>
                <c:pt idx="0">
                  <c:v>Средно от Ниски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Profit_liter!$A$4:$A$19</c:f>
              <c:multiLvlStrCache>
                <c:ptCount val="12"/>
                <c:lvl>
                  <c:pt idx="0">
                    <c:v>Трим.1</c:v>
                  </c:pt>
                  <c:pt idx="1">
                    <c:v>Трим.2</c:v>
                  </c:pt>
                  <c:pt idx="2">
                    <c:v>Трим.3</c:v>
                  </c:pt>
                  <c:pt idx="3">
                    <c:v>Трим.4</c:v>
                  </c:pt>
                  <c:pt idx="4">
                    <c:v>Трим.1</c:v>
                  </c:pt>
                  <c:pt idx="5">
                    <c:v>Трим.2</c:v>
                  </c:pt>
                  <c:pt idx="6">
                    <c:v>Трим.3</c:v>
                  </c:pt>
                  <c:pt idx="7">
                    <c:v>Трим.4</c:v>
                  </c:pt>
                  <c:pt idx="8">
                    <c:v>Трим.1</c:v>
                  </c:pt>
                  <c:pt idx="9">
                    <c:v>Трим.2</c:v>
                  </c:pt>
                  <c:pt idx="10">
                    <c:v>Трим.3</c:v>
                  </c:pt>
                  <c:pt idx="11">
                    <c:v>Трим.4</c:v>
                  </c:pt>
                </c:lvl>
                <c:lvl>
                  <c:pt idx="0">
                    <c:v>2019</c:v>
                  </c:pt>
                  <c:pt idx="4">
                    <c:v>2020</c:v>
                  </c:pt>
                  <c:pt idx="8">
                    <c:v>2021</c:v>
                  </c:pt>
                </c:lvl>
              </c:multiLvlStrCache>
            </c:multiLvlStrRef>
          </c:cat>
          <c:val>
            <c:numRef>
              <c:f>Profit_liter!$C$4:$C$19</c:f>
              <c:numCache>
                <c:formatCode>0.00</c:formatCode>
                <c:ptCount val="12"/>
                <c:pt idx="0">
                  <c:v>-0.30834018358059906</c:v>
                </c:pt>
                <c:pt idx="1">
                  <c:v>-0.30834018358059906</c:v>
                </c:pt>
                <c:pt idx="2">
                  <c:v>-0.30834018358059906</c:v>
                </c:pt>
                <c:pt idx="3">
                  <c:v>-0.30834018358059906</c:v>
                </c:pt>
                <c:pt idx="4">
                  <c:v>-0.30834018358059906</c:v>
                </c:pt>
                <c:pt idx="5">
                  <c:v>-0.30834018358059906</c:v>
                </c:pt>
                <c:pt idx="6">
                  <c:v>-0.30834018358059906</c:v>
                </c:pt>
                <c:pt idx="7">
                  <c:v>-0.30834018358059906</c:v>
                </c:pt>
                <c:pt idx="8">
                  <c:v>-0.30834018358059906</c:v>
                </c:pt>
                <c:pt idx="9">
                  <c:v>-0.30834018358059906</c:v>
                </c:pt>
                <c:pt idx="10">
                  <c:v>-0.30834018358059906</c:v>
                </c:pt>
                <c:pt idx="11">
                  <c:v>-0.30834018358059906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88-4E5A-AEB4-A13FC03CA7CB}"/>
            </c:ext>
          </c:extLst>
        </c:ser>
        <c:ser>
          <c:idx val="2"/>
          <c:order val="2"/>
          <c:tx>
            <c:strRef>
              <c:f>Profit_liter!$D$3</c:f>
              <c:strCache>
                <c:ptCount val="1"/>
                <c:pt idx="0">
                  <c:v>Средно от Загуби_литър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Profit_liter!$A$4:$A$19</c:f>
              <c:multiLvlStrCache>
                <c:ptCount val="12"/>
                <c:lvl>
                  <c:pt idx="0">
                    <c:v>Трим.1</c:v>
                  </c:pt>
                  <c:pt idx="1">
                    <c:v>Трим.2</c:v>
                  </c:pt>
                  <c:pt idx="2">
                    <c:v>Трим.3</c:v>
                  </c:pt>
                  <c:pt idx="3">
                    <c:v>Трим.4</c:v>
                  </c:pt>
                  <c:pt idx="4">
                    <c:v>Трим.1</c:v>
                  </c:pt>
                  <c:pt idx="5">
                    <c:v>Трим.2</c:v>
                  </c:pt>
                  <c:pt idx="6">
                    <c:v>Трим.3</c:v>
                  </c:pt>
                  <c:pt idx="7">
                    <c:v>Трим.4</c:v>
                  </c:pt>
                  <c:pt idx="8">
                    <c:v>Трим.1</c:v>
                  </c:pt>
                  <c:pt idx="9">
                    <c:v>Трим.2</c:v>
                  </c:pt>
                  <c:pt idx="10">
                    <c:v>Трим.3</c:v>
                  </c:pt>
                  <c:pt idx="11">
                    <c:v>Трим.4</c:v>
                  </c:pt>
                </c:lvl>
                <c:lvl>
                  <c:pt idx="0">
                    <c:v>2019</c:v>
                  </c:pt>
                  <c:pt idx="4">
                    <c:v>2020</c:v>
                  </c:pt>
                  <c:pt idx="8">
                    <c:v>2021</c:v>
                  </c:pt>
                </c:lvl>
              </c:multiLvlStrCache>
            </c:multiLvlStrRef>
          </c:cat>
          <c:val>
            <c:numRef>
              <c:f>Profit_liter!$D$4:$D$19</c:f>
              <c:numCache>
                <c:formatCode>0.00</c:formatCode>
                <c:ptCount val="12"/>
                <c:pt idx="0">
                  <c:v>-0.32456334832623485</c:v>
                </c:pt>
                <c:pt idx="1">
                  <c:v>-0.32456334832623485</c:v>
                </c:pt>
                <c:pt idx="2">
                  <c:v>-0.32456334832623485</c:v>
                </c:pt>
                <c:pt idx="3">
                  <c:v>-0.32456334832623485</c:v>
                </c:pt>
                <c:pt idx="4">
                  <c:v>-0.32456334832623485</c:v>
                </c:pt>
                <c:pt idx="5">
                  <c:v>-0.32456334832623485</c:v>
                </c:pt>
                <c:pt idx="6">
                  <c:v>-0.32456334832623485</c:v>
                </c:pt>
                <c:pt idx="7">
                  <c:v>-0.32456334832623485</c:v>
                </c:pt>
                <c:pt idx="8">
                  <c:v>-0.32456334832623485</c:v>
                </c:pt>
                <c:pt idx="9">
                  <c:v>-0.32456334832623485</c:v>
                </c:pt>
                <c:pt idx="10">
                  <c:v>-0.32456334832623485</c:v>
                </c:pt>
                <c:pt idx="11">
                  <c:v>-0.32456334832623485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88-4E5A-AEB4-A13FC03CA7CB}"/>
            </c:ext>
          </c:extLst>
        </c:ser>
        <c:ser>
          <c:idx val="3"/>
          <c:order val="3"/>
          <c:tx>
            <c:strRef>
              <c:f>Profit_liter!$E$3</c:f>
              <c:strCache>
                <c:ptCount val="1"/>
                <c:pt idx="0">
                  <c:v>Средно от Средни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Profit_liter!$A$4:$A$19</c:f>
              <c:multiLvlStrCache>
                <c:ptCount val="12"/>
                <c:lvl>
                  <c:pt idx="0">
                    <c:v>Трим.1</c:v>
                  </c:pt>
                  <c:pt idx="1">
                    <c:v>Трим.2</c:v>
                  </c:pt>
                  <c:pt idx="2">
                    <c:v>Трим.3</c:v>
                  </c:pt>
                  <c:pt idx="3">
                    <c:v>Трим.4</c:v>
                  </c:pt>
                  <c:pt idx="4">
                    <c:v>Трим.1</c:v>
                  </c:pt>
                  <c:pt idx="5">
                    <c:v>Трим.2</c:v>
                  </c:pt>
                  <c:pt idx="6">
                    <c:v>Трим.3</c:v>
                  </c:pt>
                  <c:pt idx="7">
                    <c:v>Трим.4</c:v>
                  </c:pt>
                  <c:pt idx="8">
                    <c:v>Трим.1</c:v>
                  </c:pt>
                  <c:pt idx="9">
                    <c:v>Трим.2</c:v>
                  </c:pt>
                  <c:pt idx="10">
                    <c:v>Трим.3</c:v>
                  </c:pt>
                  <c:pt idx="11">
                    <c:v>Трим.4</c:v>
                  </c:pt>
                </c:lvl>
                <c:lvl>
                  <c:pt idx="0">
                    <c:v>2019</c:v>
                  </c:pt>
                  <c:pt idx="4">
                    <c:v>2020</c:v>
                  </c:pt>
                  <c:pt idx="8">
                    <c:v>2021</c:v>
                  </c:pt>
                </c:lvl>
              </c:multiLvlStrCache>
            </c:multiLvlStrRef>
          </c:cat>
          <c:val>
            <c:numRef>
              <c:f>Profit_liter!$E$4:$E$19</c:f>
              <c:numCache>
                <c:formatCode>0.00</c:formatCode>
                <c:ptCount val="12"/>
                <c:pt idx="0">
                  <c:v>0.27865063499971043</c:v>
                </c:pt>
                <c:pt idx="1">
                  <c:v>0.27865063499971043</c:v>
                </c:pt>
                <c:pt idx="2">
                  <c:v>0.27865063499971043</c:v>
                </c:pt>
                <c:pt idx="3">
                  <c:v>0.27865063499971043</c:v>
                </c:pt>
                <c:pt idx="4">
                  <c:v>0.27865063499971043</c:v>
                </c:pt>
                <c:pt idx="5">
                  <c:v>0.27865063499971043</c:v>
                </c:pt>
                <c:pt idx="6">
                  <c:v>0.27865063499971043</c:v>
                </c:pt>
                <c:pt idx="7">
                  <c:v>0.27865063499971043</c:v>
                </c:pt>
                <c:pt idx="8">
                  <c:v>0.27865063499971043</c:v>
                </c:pt>
                <c:pt idx="9">
                  <c:v>0.27865063499971043</c:v>
                </c:pt>
                <c:pt idx="10">
                  <c:v>0.27865063499971043</c:v>
                </c:pt>
                <c:pt idx="11">
                  <c:v>0.27865063499971043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88-4E5A-AEB4-A13FC03CA7CB}"/>
            </c:ext>
          </c:extLst>
        </c:ser>
        <c:ser>
          <c:idx val="4"/>
          <c:order val="4"/>
          <c:tx>
            <c:strRef>
              <c:f>Profit_liter!$F$3</c:f>
              <c:strCache>
                <c:ptCount val="1"/>
                <c:pt idx="0">
                  <c:v>Средно от Високи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Profit_liter!$A$4:$A$19</c:f>
              <c:multiLvlStrCache>
                <c:ptCount val="12"/>
                <c:lvl>
                  <c:pt idx="0">
                    <c:v>Трим.1</c:v>
                  </c:pt>
                  <c:pt idx="1">
                    <c:v>Трим.2</c:v>
                  </c:pt>
                  <c:pt idx="2">
                    <c:v>Трим.3</c:v>
                  </c:pt>
                  <c:pt idx="3">
                    <c:v>Трим.4</c:v>
                  </c:pt>
                  <c:pt idx="4">
                    <c:v>Трим.1</c:v>
                  </c:pt>
                  <c:pt idx="5">
                    <c:v>Трим.2</c:v>
                  </c:pt>
                  <c:pt idx="6">
                    <c:v>Трим.3</c:v>
                  </c:pt>
                  <c:pt idx="7">
                    <c:v>Трим.4</c:v>
                  </c:pt>
                  <c:pt idx="8">
                    <c:v>Трим.1</c:v>
                  </c:pt>
                  <c:pt idx="9">
                    <c:v>Трим.2</c:v>
                  </c:pt>
                  <c:pt idx="10">
                    <c:v>Трим.3</c:v>
                  </c:pt>
                  <c:pt idx="11">
                    <c:v>Трим.4</c:v>
                  </c:pt>
                </c:lvl>
                <c:lvl>
                  <c:pt idx="0">
                    <c:v>2019</c:v>
                  </c:pt>
                  <c:pt idx="4">
                    <c:v>2020</c:v>
                  </c:pt>
                  <c:pt idx="8">
                    <c:v>2021</c:v>
                  </c:pt>
                </c:lvl>
              </c:multiLvlStrCache>
            </c:multiLvlStrRef>
          </c:cat>
          <c:val>
            <c:numRef>
              <c:f>Profit_liter!$F$4:$F$19</c:f>
              <c:numCache>
                <c:formatCode>0.00</c:formatCode>
                <c:ptCount val="12"/>
                <c:pt idx="0">
                  <c:v>0.91611905718249187</c:v>
                </c:pt>
                <c:pt idx="1">
                  <c:v>0.91611905718249187</c:v>
                </c:pt>
                <c:pt idx="2">
                  <c:v>0.91611905718249187</c:v>
                </c:pt>
                <c:pt idx="3">
                  <c:v>0.91611905718249187</c:v>
                </c:pt>
                <c:pt idx="4">
                  <c:v>0.91611905718249187</c:v>
                </c:pt>
                <c:pt idx="5">
                  <c:v>0.91611905718249187</c:v>
                </c:pt>
                <c:pt idx="6">
                  <c:v>0.91611905718249187</c:v>
                </c:pt>
                <c:pt idx="7">
                  <c:v>0.91611905718249187</c:v>
                </c:pt>
                <c:pt idx="8">
                  <c:v>0.91611905718249187</c:v>
                </c:pt>
                <c:pt idx="9">
                  <c:v>0.91611905718249187</c:v>
                </c:pt>
                <c:pt idx="10">
                  <c:v>0.91611905718249187</c:v>
                </c:pt>
                <c:pt idx="11">
                  <c:v>0.91611905718249187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588-4E5A-AEB4-A13FC03CA7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530580752"/>
        <c:axId val="530567632"/>
      </c:barChart>
      <c:lineChart>
        <c:grouping val="standard"/>
        <c:varyColors val="0"/>
        <c:ser>
          <c:idx val="0"/>
          <c:order val="0"/>
          <c:tx>
            <c:strRef>
              <c:f>Profit_liter!$B$3</c:f>
              <c:strCache>
                <c:ptCount val="1"/>
                <c:pt idx="0">
                  <c:v>Средно от Печалба/литър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Profit_liter!$A$4:$A$19</c:f>
              <c:multiLvlStrCache>
                <c:ptCount val="12"/>
                <c:lvl>
                  <c:pt idx="0">
                    <c:v>Трим.1</c:v>
                  </c:pt>
                  <c:pt idx="1">
                    <c:v>Трим.2</c:v>
                  </c:pt>
                  <c:pt idx="2">
                    <c:v>Трим.3</c:v>
                  </c:pt>
                  <c:pt idx="3">
                    <c:v>Трим.4</c:v>
                  </c:pt>
                  <c:pt idx="4">
                    <c:v>Трим.1</c:v>
                  </c:pt>
                  <c:pt idx="5">
                    <c:v>Трим.2</c:v>
                  </c:pt>
                  <c:pt idx="6">
                    <c:v>Трим.3</c:v>
                  </c:pt>
                  <c:pt idx="7">
                    <c:v>Трим.4</c:v>
                  </c:pt>
                  <c:pt idx="8">
                    <c:v>Трим.1</c:v>
                  </c:pt>
                  <c:pt idx="9">
                    <c:v>Трим.2</c:v>
                  </c:pt>
                  <c:pt idx="10">
                    <c:v>Трим.3</c:v>
                  </c:pt>
                  <c:pt idx="11">
                    <c:v>Трим.4</c:v>
                  </c:pt>
                </c:lvl>
                <c:lvl>
                  <c:pt idx="0">
                    <c:v>2019</c:v>
                  </c:pt>
                  <c:pt idx="4">
                    <c:v>2020</c:v>
                  </c:pt>
                  <c:pt idx="8">
                    <c:v>2021</c:v>
                  </c:pt>
                </c:lvl>
              </c:multiLvlStrCache>
            </c:multiLvlStrRef>
          </c:cat>
          <c:val>
            <c:numRef>
              <c:f>Profit_liter!$B$4:$B$19</c:f>
              <c:numCache>
                <c:formatCode>0.00</c:formatCode>
                <c:ptCount val="12"/>
                <c:pt idx="0">
                  <c:v>-0.17039462675891126</c:v>
                </c:pt>
                <c:pt idx="1">
                  <c:v>0.29094265458809493</c:v>
                </c:pt>
                <c:pt idx="2">
                  <c:v>8.7533153154446972E-2</c:v>
                </c:pt>
                <c:pt idx="3">
                  <c:v>0.24788126034180111</c:v>
                </c:pt>
                <c:pt idx="4">
                  <c:v>0.20908059718819069</c:v>
                </c:pt>
                <c:pt idx="5">
                  <c:v>0.18527782996010822</c:v>
                </c:pt>
                <c:pt idx="6">
                  <c:v>5.5056862035950144E-2</c:v>
                </c:pt>
                <c:pt idx="7">
                  <c:v>0.41607823868844068</c:v>
                </c:pt>
                <c:pt idx="8">
                  <c:v>0.11111488336491053</c:v>
                </c:pt>
                <c:pt idx="9">
                  <c:v>0.22433690251161667</c:v>
                </c:pt>
                <c:pt idx="10">
                  <c:v>3.7868738408665559E-2</c:v>
                </c:pt>
                <c:pt idx="11">
                  <c:v>0.48903719428085896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588-4E5A-AEB4-A13FC03CA7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0580752"/>
        <c:axId val="530567632"/>
      </c:lineChart>
      <c:catAx>
        <c:axId val="530580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0567632"/>
        <c:crosses val="autoZero"/>
        <c:auto val="1"/>
        <c:lblAlgn val="ctr"/>
        <c:lblOffset val="100"/>
        <c:noMultiLvlLbl val="0"/>
      </c:catAx>
      <c:valAx>
        <c:axId val="530567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bg-BG"/>
                  <a:t>лев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0580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[st.zagora_dashboard4.xlsx]Price!Обобщена таблица7</c:name>
    <c:fmtId val="6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bg-BG"/>
              <a:t>Цена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Price!$B$3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Price!$A$4:$A$19</c:f>
              <c:multiLvlStrCache>
                <c:ptCount val="12"/>
                <c:lvl>
                  <c:pt idx="0">
                    <c:v>Трим.1</c:v>
                  </c:pt>
                  <c:pt idx="1">
                    <c:v>Трим.2</c:v>
                  </c:pt>
                  <c:pt idx="2">
                    <c:v>Трим.3</c:v>
                  </c:pt>
                  <c:pt idx="3">
                    <c:v>Трим.4</c:v>
                  </c:pt>
                  <c:pt idx="4">
                    <c:v>Трим.1</c:v>
                  </c:pt>
                  <c:pt idx="5">
                    <c:v>Трим.2</c:v>
                  </c:pt>
                  <c:pt idx="6">
                    <c:v>Трим.3</c:v>
                  </c:pt>
                  <c:pt idx="7">
                    <c:v>Трим.4</c:v>
                  </c:pt>
                  <c:pt idx="8">
                    <c:v>Трим.1</c:v>
                  </c:pt>
                  <c:pt idx="9">
                    <c:v>Трим.2</c:v>
                  </c:pt>
                  <c:pt idx="10">
                    <c:v>Трим.3</c:v>
                  </c:pt>
                  <c:pt idx="11">
                    <c:v>Трим.4</c:v>
                  </c:pt>
                </c:lvl>
                <c:lvl>
                  <c:pt idx="0">
                    <c:v>2019</c:v>
                  </c:pt>
                  <c:pt idx="4">
                    <c:v>2020</c:v>
                  </c:pt>
                  <c:pt idx="8">
                    <c:v>2021</c:v>
                  </c:pt>
                </c:lvl>
              </c:multiLvlStrCache>
            </c:multiLvlStrRef>
          </c:cat>
          <c:val>
            <c:numRef>
              <c:f>Price!$B$4:$B$19</c:f>
              <c:numCache>
                <c:formatCode>0.000</c:formatCode>
                <c:ptCount val="12"/>
                <c:pt idx="0">
                  <c:v>0.69666666666666666</c:v>
                </c:pt>
                <c:pt idx="1">
                  <c:v>0.67164079019355605</c:v>
                </c:pt>
                <c:pt idx="2">
                  <c:v>0.71</c:v>
                </c:pt>
                <c:pt idx="3">
                  <c:v>0.75128342461016351</c:v>
                </c:pt>
                <c:pt idx="4">
                  <c:v>0.75999863914334076</c:v>
                </c:pt>
                <c:pt idx="5">
                  <c:v>0.71818733644048727</c:v>
                </c:pt>
                <c:pt idx="6">
                  <c:v>0.71733006018489343</c:v>
                </c:pt>
                <c:pt idx="7">
                  <c:v>0.74352331309127306</c:v>
                </c:pt>
                <c:pt idx="8">
                  <c:v>0.74999965766039633</c:v>
                </c:pt>
                <c:pt idx="9">
                  <c:v>0.75</c:v>
                </c:pt>
                <c:pt idx="10">
                  <c:v>0.76456698497465736</c:v>
                </c:pt>
                <c:pt idx="11">
                  <c:v>0.83666666666666678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7B-47E8-9F3F-4110B685DF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6239992"/>
        <c:axId val="526235400"/>
      </c:barChart>
      <c:catAx>
        <c:axId val="526239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6235400"/>
        <c:crosses val="autoZero"/>
        <c:auto val="1"/>
        <c:lblAlgn val="ctr"/>
        <c:lblOffset val="100"/>
        <c:noMultiLvlLbl val="0"/>
      </c:catAx>
      <c:valAx>
        <c:axId val="526235400"/>
        <c:scaling>
          <c:orientation val="minMax"/>
          <c:max val="0.85000000000000009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bg-BG"/>
                  <a:t>лев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62399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[st.zagora_dashboard4.xlsx]Annual income!Обобщена таблица1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bg-BG"/>
              <a:t>Годишен</a:t>
            </a:r>
            <a:r>
              <a:rPr lang="bg-BG" baseline="0"/>
              <a:t> приход</a:t>
            </a:r>
            <a:endParaRPr lang="bg-BG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'Annual income'!$B$3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'Annual income'!$A$4:$A$7</c:f>
              <c:strCache>
                <c:ptCount val="3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</c:strCache>
            </c:strRef>
          </c:cat>
          <c:val>
            <c:numRef>
              <c:f>'Annual income'!$B$4:$B$7</c:f>
              <c:numCache>
                <c:formatCode>General</c:formatCode>
                <c:ptCount val="3"/>
                <c:pt idx="0">
                  <c:v>323523.4200000001</c:v>
                </c:pt>
                <c:pt idx="1">
                  <c:v>606906.12</c:v>
                </c:pt>
                <c:pt idx="2">
                  <c:v>585119.37000000011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B8-4CA1-8FD7-5E290C0577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802936"/>
        <c:axId val="453053016"/>
      </c:barChart>
      <c:catAx>
        <c:axId val="452802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3053016"/>
        <c:crosses val="autoZero"/>
        <c:auto val="1"/>
        <c:lblAlgn val="ctr"/>
        <c:lblOffset val="100"/>
        <c:noMultiLvlLbl val="0"/>
      </c:catAx>
      <c:valAx>
        <c:axId val="453053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2802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[st.zagora_dashboard4.xlsx]Mounth income!Обобщена таблица2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bg-BG"/>
              <a:t>Месечен</a:t>
            </a:r>
            <a:r>
              <a:rPr lang="bg-BG" baseline="0"/>
              <a:t> приход на кравефермата</a:t>
            </a:r>
            <a:endParaRPr lang="bg-BG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rgbClr val="4472C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'Mounth income'!$B$3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  <a:effectLst/>
          </c:spPr>
          <c:invertIfNegative val="1"/>
          <c:cat>
            <c:multiLvlStrRef>
              <c:f>'Mounth income'!$A$4:$A$55</c:f>
              <c:multiLvlStrCache>
                <c:ptCount val="36"/>
                <c:lvl>
                  <c:pt idx="0">
                    <c:v>яну</c:v>
                  </c:pt>
                  <c:pt idx="1">
                    <c:v>фев</c:v>
                  </c:pt>
                  <c:pt idx="2">
                    <c:v>мар</c:v>
                  </c:pt>
                  <c:pt idx="3">
                    <c:v>апр</c:v>
                  </c:pt>
                  <c:pt idx="4">
                    <c:v>май</c:v>
                  </c:pt>
                  <c:pt idx="5">
                    <c:v>юни</c:v>
                  </c:pt>
                  <c:pt idx="6">
                    <c:v>юли</c:v>
                  </c:pt>
                  <c:pt idx="7">
                    <c:v>авг</c:v>
                  </c:pt>
                  <c:pt idx="8">
                    <c:v>сеп</c:v>
                  </c:pt>
                  <c:pt idx="9">
                    <c:v>окт</c:v>
                  </c:pt>
                  <c:pt idx="10">
                    <c:v>ное</c:v>
                  </c:pt>
                  <c:pt idx="11">
                    <c:v>дек</c:v>
                  </c:pt>
                  <c:pt idx="12">
                    <c:v>яну</c:v>
                  </c:pt>
                  <c:pt idx="13">
                    <c:v>фев</c:v>
                  </c:pt>
                  <c:pt idx="14">
                    <c:v>мар</c:v>
                  </c:pt>
                  <c:pt idx="15">
                    <c:v>апр</c:v>
                  </c:pt>
                  <c:pt idx="16">
                    <c:v>май</c:v>
                  </c:pt>
                  <c:pt idx="17">
                    <c:v>юни</c:v>
                  </c:pt>
                  <c:pt idx="18">
                    <c:v>юли</c:v>
                  </c:pt>
                  <c:pt idx="19">
                    <c:v>авг</c:v>
                  </c:pt>
                  <c:pt idx="20">
                    <c:v>сеп</c:v>
                  </c:pt>
                  <c:pt idx="21">
                    <c:v>окт</c:v>
                  </c:pt>
                  <c:pt idx="22">
                    <c:v>ное</c:v>
                  </c:pt>
                  <c:pt idx="23">
                    <c:v>дек</c:v>
                  </c:pt>
                  <c:pt idx="24">
                    <c:v>яну</c:v>
                  </c:pt>
                  <c:pt idx="25">
                    <c:v>фев</c:v>
                  </c:pt>
                  <c:pt idx="26">
                    <c:v>мар</c:v>
                  </c:pt>
                  <c:pt idx="27">
                    <c:v>апр</c:v>
                  </c:pt>
                  <c:pt idx="28">
                    <c:v>май</c:v>
                  </c:pt>
                  <c:pt idx="29">
                    <c:v>юни</c:v>
                  </c:pt>
                  <c:pt idx="30">
                    <c:v>юли</c:v>
                  </c:pt>
                  <c:pt idx="31">
                    <c:v>авг</c:v>
                  </c:pt>
                  <c:pt idx="32">
                    <c:v>сеп</c:v>
                  </c:pt>
                  <c:pt idx="33">
                    <c:v>окт</c:v>
                  </c:pt>
                  <c:pt idx="34">
                    <c:v>ное</c:v>
                  </c:pt>
                  <c:pt idx="35">
                    <c:v>дек</c:v>
                  </c:pt>
                </c:lvl>
                <c:lvl>
                  <c:pt idx="0">
                    <c:v>Трим.1</c:v>
                  </c:pt>
                  <c:pt idx="3">
                    <c:v>Трим.2</c:v>
                  </c:pt>
                  <c:pt idx="6">
                    <c:v>Трим.3</c:v>
                  </c:pt>
                  <c:pt idx="9">
                    <c:v>Трим.4</c:v>
                  </c:pt>
                  <c:pt idx="12">
                    <c:v>Трим.1</c:v>
                  </c:pt>
                  <c:pt idx="15">
                    <c:v>Трим.2</c:v>
                  </c:pt>
                  <c:pt idx="18">
                    <c:v>Трим.3</c:v>
                  </c:pt>
                  <c:pt idx="21">
                    <c:v>Трим.4</c:v>
                  </c:pt>
                  <c:pt idx="24">
                    <c:v>Трим.1</c:v>
                  </c:pt>
                  <c:pt idx="27">
                    <c:v>Трим.2</c:v>
                  </c:pt>
                  <c:pt idx="30">
                    <c:v>Трим.3</c:v>
                  </c:pt>
                  <c:pt idx="33">
                    <c:v>Трим.4</c:v>
                  </c:pt>
                </c:lvl>
                <c:lvl>
                  <c:pt idx="0">
                    <c:v>2019</c:v>
                  </c:pt>
                  <c:pt idx="12">
                    <c:v>2020</c:v>
                  </c:pt>
                  <c:pt idx="24">
                    <c:v>2021</c:v>
                  </c:pt>
                </c:lvl>
              </c:multiLvlStrCache>
            </c:multiLvlStrRef>
          </c:cat>
          <c:val>
            <c:numRef>
              <c:f>'Mounth income'!$B$4:$B$55</c:f>
              <c:numCache>
                <c:formatCode>General</c:formatCode>
                <c:ptCount val="36"/>
                <c:pt idx="0">
                  <c:v>-32616.01999999999</c:v>
                </c:pt>
                <c:pt idx="1">
                  <c:v>-15815.289999999979</c:v>
                </c:pt>
                <c:pt idx="2">
                  <c:v>-10403.690000000002</c:v>
                </c:pt>
                <c:pt idx="3">
                  <c:v>104427.94</c:v>
                </c:pt>
                <c:pt idx="4">
                  <c:v>45592.889999999985</c:v>
                </c:pt>
                <c:pt idx="5">
                  <c:v>10611.149999999994</c:v>
                </c:pt>
                <c:pt idx="6">
                  <c:v>3095.210000000021</c:v>
                </c:pt>
                <c:pt idx="7">
                  <c:v>44741.859999999986</c:v>
                </c:pt>
                <c:pt idx="8">
                  <c:v>8117.5800000000163</c:v>
                </c:pt>
                <c:pt idx="9">
                  <c:v>4862.4200000000128</c:v>
                </c:pt>
                <c:pt idx="10">
                  <c:v>21164.680000000051</c:v>
                </c:pt>
                <c:pt idx="11">
                  <c:v>139744.69</c:v>
                </c:pt>
                <c:pt idx="12">
                  <c:v>109103.59</c:v>
                </c:pt>
                <c:pt idx="13">
                  <c:v>-10986.630000000005</c:v>
                </c:pt>
                <c:pt idx="14">
                  <c:v>55607.739999999991</c:v>
                </c:pt>
                <c:pt idx="15">
                  <c:v>67911.580000000016</c:v>
                </c:pt>
                <c:pt idx="16">
                  <c:v>31806.920000000042</c:v>
                </c:pt>
                <c:pt idx="17">
                  <c:v>46298.380000000005</c:v>
                </c:pt>
                <c:pt idx="18">
                  <c:v>8479.5499999999884</c:v>
                </c:pt>
                <c:pt idx="19">
                  <c:v>33012.26999999999</c:v>
                </c:pt>
                <c:pt idx="20">
                  <c:v>4157.7700000000186</c:v>
                </c:pt>
                <c:pt idx="21">
                  <c:v>-3619.6100000000151</c:v>
                </c:pt>
                <c:pt idx="22">
                  <c:v>18077.02999999997</c:v>
                </c:pt>
                <c:pt idx="23">
                  <c:v>247057.53</c:v>
                </c:pt>
                <c:pt idx="24">
                  <c:v>51816.44</c:v>
                </c:pt>
                <c:pt idx="25">
                  <c:v>19480.080000000016</c:v>
                </c:pt>
                <c:pt idx="26">
                  <c:v>11933.869999999995</c:v>
                </c:pt>
                <c:pt idx="27">
                  <c:v>79142.110000000015</c:v>
                </c:pt>
                <c:pt idx="28">
                  <c:v>69894.669999999984</c:v>
                </c:pt>
                <c:pt idx="29">
                  <c:v>27011.839999999997</c:v>
                </c:pt>
                <c:pt idx="30">
                  <c:v>-61824.520000000019</c:v>
                </c:pt>
                <c:pt idx="31">
                  <c:v>25084.97000000003</c:v>
                </c:pt>
                <c:pt idx="32">
                  <c:v>60809.059999999983</c:v>
                </c:pt>
                <c:pt idx="33">
                  <c:v>44925.100000000006</c:v>
                </c:pt>
                <c:pt idx="34">
                  <c:v>41982.74000000002</c:v>
                </c:pt>
                <c:pt idx="35">
                  <c:v>214863.01000000007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3858-471D-8171-1C47BCB3CF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9944216"/>
        <c:axId val="489944544"/>
      </c:barChart>
      <c:catAx>
        <c:axId val="489944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9944544"/>
        <c:crosses val="autoZero"/>
        <c:auto val="1"/>
        <c:lblAlgn val="ctr"/>
        <c:lblOffset val="100"/>
        <c:noMultiLvlLbl val="0"/>
      </c:catAx>
      <c:valAx>
        <c:axId val="48994454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99442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[st.zagora_dashboard4.xlsx]Product cost_liter!Обобщена таблица3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bg-BG"/>
              <a:t>Производствени</a:t>
            </a:r>
            <a:r>
              <a:rPr lang="bg-BG" baseline="0"/>
              <a:t> разходи за литър мляко</a:t>
            </a:r>
            <a:endParaRPr lang="bg-BG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'Product cost_liter'!$C$3</c:f>
              <c:strCache>
                <c:ptCount val="1"/>
                <c:pt idx="0">
                  <c:v>Нисък разход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'Product cost_liter'!$A$4:$A$55</c:f>
              <c:multiLvlStrCache>
                <c:ptCount val="36"/>
                <c:lvl>
                  <c:pt idx="0">
                    <c:v>яну</c:v>
                  </c:pt>
                  <c:pt idx="1">
                    <c:v>фев</c:v>
                  </c:pt>
                  <c:pt idx="2">
                    <c:v>мар</c:v>
                  </c:pt>
                  <c:pt idx="3">
                    <c:v>апр</c:v>
                  </c:pt>
                  <c:pt idx="4">
                    <c:v>май</c:v>
                  </c:pt>
                  <c:pt idx="5">
                    <c:v>юни</c:v>
                  </c:pt>
                  <c:pt idx="6">
                    <c:v>юли</c:v>
                  </c:pt>
                  <c:pt idx="7">
                    <c:v>авг</c:v>
                  </c:pt>
                  <c:pt idx="8">
                    <c:v>сеп</c:v>
                  </c:pt>
                  <c:pt idx="9">
                    <c:v>окт</c:v>
                  </c:pt>
                  <c:pt idx="10">
                    <c:v>ное</c:v>
                  </c:pt>
                  <c:pt idx="11">
                    <c:v>дек</c:v>
                  </c:pt>
                  <c:pt idx="12">
                    <c:v>яну</c:v>
                  </c:pt>
                  <c:pt idx="13">
                    <c:v>фев</c:v>
                  </c:pt>
                  <c:pt idx="14">
                    <c:v>мар</c:v>
                  </c:pt>
                  <c:pt idx="15">
                    <c:v>апр</c:v>
                  </c:pt>
                  <c:pt idx="16">
                    <c:v>май</c:v>
                  </c:pt>
                  <c:pt idx="17">
                    <c:v>юни</c:v>
                  </c:pt>
                  <c:pt idx="18">
                    <c:v>юли</c:v>
                  </c:pt>
                  <c:pt idx="19">
                    <c:v>авг</c:v>
                  </c:pt>
                  <c:pt idx="20">
                    <c:v>сеп</c:v>
                  </c:pt>
                  <c:pt idx="21">
                    <c:v>окт</c:v>
                  </c:pt>
                  <c:pt idx="22">
                    <c:v>ное</c:v>
                  </c:pt>
                  <c:pt idx="23">
                    <c:v>дек</c:v>
                  </c:pt>
                  <c:pt idx="24">
                    <c:v>яну</c:v>
                  </c:pt>
                  <c:pt idx="25">
                    <c:v>фев</c:v>
                  </c:pt>
                  <c:pt idx="26">
                    <c:v>мар</c:v>
                  </c:pt>
                  <c:pt idx="27">
                    <c:v>апр</c:v>
                  </c:pt>
                  <c:pt idx="28">
                    <c:v>май</c:v>
                  </c:pt>
                  <c:pt idx="29">
                    <c:v>юни</c:v>
                  </c:pt>
                  <c:pt idx="30">
                    <c:v>юли</c:v>
                  </c:pt>
                  <c:pt idx="31">
                    <c:v>авг</c:v>
                  </c:pt>
                  <c:pt idx="32">
                    <c:v>сеп</c:v>
                  </c:pt>
                  <c:pt idx="33">
                    <c:v>окт</c:v>
                  </c:pt>
                  <c:pt idx="34">
                    <c:v>ное</c:v>
                  </c:pt>
                  <c:pt idx="35">
                    <c:v>дек</c:v>
                  </c:pt>
                </c:lvl>
                <c:lvl>
                  <c:pt idx="0">
                    <c:v>Трим.1</c:v>
                  </c:pt>
                  <c:pt idx="3">
                    <c:v>Трим.2</c:v>
                  </c:pt>
                  <c:pt idx="6">
                    <c:v>Трим.3</c:v>
                  </c:pt>
                  <c:pt idx="9">
                    <c:v>Трим.4</c:v>
                  </c:pt>
                  <c:pt idx="12">
                    <c:v>Трим.1</c:v>
                  </c:pt>
                  <c:pt idx="15">
                    <c:v>Трим.2</c:v>
                  </c:pt>
                  <c:pt idx="18">
                    <c:v>Трим.3</c:v>
                  </c:pt>
                  <c:pt idx="21">
                    <c:v>Трим.4</c:v>
                  </c:pt>
                  <c:pt idx="24">
                    <c:v>Трим.1</c:v>
                  </c:pt>
                  <c:pt idx="27">
                    <c:v>Трим.2</c:v>
                  </c:pt>
                  <c:pt idx="30">
                    <c:v>Трим.3</c:v>
                  </c:pt>
                  <c:pt idx="33">
                    <c:v>Трим.4</c:v>
                  </c:pt>
                </c:lvl>
                <c:lvl>
                  <c:pt idx="0">
                    <c:v>2019</c:v>
                  </c:pt>
                  <c:pt idx="12">
                    <c:v>2020</c:v>
                  </c:pt>
                  <c:pt idx="24">
                    <c:v>2021</c:v>
                  </c:pt>
                </c:lvl>
              </c:multiLvlStrCache>
            </c:multiLvlStrRef>
          </c:cat>
          <c:val>
            <c:numRef>
              <c:f>'Product cost_liter'!$C$4:$C$55</c:f>
              <c:numCache>
                <c:formatCode>General</c:formatCode>
                <c:ptCount val="36"/>
                <c:pt idx="0">
                  <c:v>0.47</c:v>
                </c:pt>
                <c:pt idx="1">
                  <c:v>0.47</c:v>
                </c:pt>
                <c:pt idx="2">
                  <c:v>0.47</c:v>
                </c:pt>
                <c:pt idx="3">
                  <c:v>0.47</c:v>
                </c:pt>
                <c:pt idx="4">
                  <c:v>0.47</c:v>
                </c:pt>
                <c:pt idx="5">
                  <c:v>0.47</c:v>
                </c:pt>
                <c:pt idx="6">
                  <c:v>0.47</c:v>
                </c:pt>
                <c:pt idx="7">
                  <c:v>0.47</c:v>
                </c:pt>
                <c:pt idx="8">
                  <c:v>0.47</c:v>
                </c:pt>
                <c:pt idx="9">
                  <c:v>0.47</c:v>
                </c:pt>
                <c:pt idx="10">
                  <c:v>0.47</c:v>
                </c:pt>
                <c:pt idx="11">
                  <c:v>0.47</c:v>
                </c:pt>
                <c:pt idx="12">
                  <c:v>0.47</c:v>
                </c:pt>
                <c:pt idx="13">
                  <c:v>0.47</c:v>
                </c:pt>
                <c:pt idx="14">
                  <c:v>0.47</c:v>
                </c:pt>
                <c:pt idx="15">
                  <c:v>0.47</c:v>
                </c:pt>
                <c:pt idx="16">
                  <c:v>0.47</c:v>
                </c:pt>
                <c:pt idx="17">
                  <c:v>0.47</c:v>
                </c:pt>
                <c:pt idx="18">
                  <c:v>0.47</c:v>
                </c:pt>
                <c:pt idx="19">
                  <c:v>0.47</c:v>
                </c:pt>
                <c:pt idx="20">
                  <c:v>0.47</c:v>
                </c:pt>
                <c:pt idx="21">
                  <c:v>0.47</c:v>
                </c:pt>
                <c:pt idx="22">
                  <c:v>0.47</c:v>
                </c:pt>
                <c:pt idx="23">
                  <c:v>0.47</c:v>
                </c:pt>
                <c:pt idx="24">
                  <c:v>0.47</c:v>
                </c:pt>
                <c:pt idx="25">
                  <c:v>0.47</c:v>
                </c:pt>
                <c:pt idx="26">
                  <c:v>0.47</c:v>
                </c:pt>
                <c:pt idx="27">
                  <c:v>0.47</c:v>
                </c:pt>
                <c:pt idx="28">
                  <c:v>0.47</c:v>
                </c:pt>
                <c:pt idx="29">
                  <c:v>0.47</c:v>
                </c:pt>
                <c:pt idx="30">
                  <c:v>0.47</c:v>
                </c:pt>
                <c:pt idx="31">
                  <c:v>0.47</c:v>
                </c:pt>
                <c:pt idx="32">
                  <c:v>0.47</c:v>
                </c:pt>
                <c:pt idx="33">
                  <c:v>0.47</c:v>
                </c:pt>
                <c:pt idx="34">
                  <c:v>0.47</c:v>
                </c:pt>
                <c:pt idx="35">
                  <c:v>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C9-4BD0-8521-F5C8C233B7C7}"/>
            </c:ext>
          </c:extLst>
        </c:ser>
        <c:ser>
          <c:idx val="2"/>
          <c:order val="2"/>
          <c:tx>
            <c:strRef>
              <c:f>'Product cost_liter'!$D$3</c:f>
              <c:strCache>
                <c:ptCount val="1"/>
                <c:pt idx="0">
                  <c:v>Среден разход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'Product cost_liter'!$A$4:$A$55</c:f>
              <c:multiLvlStrCache>
                <c:ptCount val="36"/>
                <c:lvl>
                  <c:pt idx="0">
                    <c:v>яну</c:v>
                  </c:pt>
                  <c:pt idx="1">
                    <c:v>фев</c:v>
                  </c:pt>
                  <c:pt idx="2">
                    <c:v>мар</c:v>
                  </c:pt>
                  <c:pt idx="3">
                    <c:v>апр</c:v>
                  </c:pt>
                  <c:pt idx="4">
                    <c:v>май</c:v>
                  </c:pt>
                  <c:pt idx="5">
                    <c:v>юни</c:v>
                  </c:pt>
                  <c:pt idx="6">
                    <c:v>юли</c:v>
                  </c:pt>
                  <c:pt idx="7">
                    <c:v>авг</c:v>
                  </c:pt>
                  <c:pt idx="8">
                    <c:v>сеп</c:v>
                  </c:pt>
                  <c:pt idx="9">
                    <c:v>окт</c:v>
                  </c:pt>
                  <c:pt idx="10">
                    <c:v>ное</c:v>
                  </c:pt>
                  <c:pt idx="11">
                    <c:v>дек</c:v>
                  </c:pt>
                  <c:pt idx="12">
                    <c:v>яну</c:v>
                  </c:pt>
                  <c:pt idx="13">
                    <c:v>фев</c:v>
                  </c:pt>
                  <c:pt idx="14">
                    <c:v>мар</c:v>
                  </c:pt>
                  <c:pt idx="15">
                    <c:v>апр</c:v>
                  </c:pt>
                  <c:pt idx="16">
                    <c:v>май</c:v>
                  </c:pt>
                  <c:pt idx="17">
                    <c:v>юни</c:v>
                  </c:pt>
                  <c:pt idx="18">
                    <c:v>юли</c:v>
                  </c:pt>
                  <c:pt idx="19">
                    <c:v>авг</c:v>
                  </c:pt>
                  <c:pt idx="20">
                    <c:v>сеп</c:v>
                  </c:pt>
                  <c:pt idx="21">
                    <c:v>окт</c:v>
                  </c:pt>
                  <c:pt idx="22">
                    <c:v>ное</c:v>
                  </c:pt>
                  <c:pt idx="23">
                    <c:v>дек</c:v>
                  </c:pt>
                  <c:pt idx="24">
                    <c:v>яну</c:v>
                  </c:pt>
                  <c:pt idx="25">
                    <c:v>фев</c:v>
                  </c:pt>
                  <c:pt idx="26">
                    <c:v>мар</c:v>
                  </c:pt>
                  <c:pt idx="27">
                    <c:v>апр</c:v>
                  </c:pt>
                  <c:pt idx="28">
                    <c:v>май</c:v>
                  </c:pt>
                  <c:pt idx="29">
                    <c:v>юни</c:v>
                  </c:pt>
                  <c:pt idx="30">
                    <c:v>юли</c:v>
                  </c:pt>
                  <c:pt idx="31">
                    <c:v>авг</c:v>
                  </c:pt>
                  <c:pt idx="32">
                    <c:v>сеп</c:v>
                  </c:pt>
                  <c:pt idx="33">
                    <c:v>окт</c:v>
                  </c:pt>
                  <c:pt idx="34">
                    <c:v>ное</c:v>
                  </c:pt>
                  <c:pt idx="35">
                    <c:v>дек</c:v>
                  </c:pt>
                </c:lvl>
                <c:lvl>
                  <c:pt idx="0">
                    <c:v>Трим.1</c:v>
                  </c:pt>
                  <c:pt idx="3">
                    <c:v>Трим.2</c:v>
                  </c:pt>
                  <c:pt idx="6">
                    <c:v>Трим.3</c:v>
                  </c:pt>
                  <c:pt idx="9">
                    <c:v>Трим.4</c:v>
                  </c:pt>
                  <c:pt idx="12">
                    <c:v>Трим.1</c:v>
                  </c:pt>
                  <c:pt idx="15">
                    <c:v>Трим.2</c:v>
                  </c:pt>
                  <c:pt idx="18">
                    <c:v>Трим.3</c:v>
                  </c:pt>
                  <c:pt idx="21">
                    <c:v>Трим.4</c:v>
                  </c:pt>
                  <c:pt idx="24">
                    <c:v>Трим.1</c:v>
                  </c:pt>
                  <c:pt idx="27">
                    <c:v>Трим.2</c:v>
                  </c:pt>
                  <c:pt idx="30">
                    <c:v>Трим.3</c:v>
                  </c:pt>
                  <c:pt idx="33">
                    <c:v>Трим.4</c:v>
                  </c:pt>
                </c:lvl>
                <c:lvl>
                  <c:pt idx="0">
                    <c:v>2019</c:v>
                  </c:pt>
                  <c:pt idx="12">
                    <c:v>2020</c:v>
                  </c:pt>
                  <c:pt idx="24">
                    <c:v>2021</c:v>
                  </c:pt>
                </c:lvl>
              </c:multiLvlStrCache>
            </c:multiLvlStrRef>
          </c:cat>
          <c:val>
            <c:numRef>
              <c:f>'Product cost_liter'!$D$4:$D$55</c:f>
              <c:numCache>
                <c:formatCode>General</c:formatCode>
                <c:ptCount val="36"/>
                <c:pt idx="0">
                  <c:v>0.18</c:v>
                </c:pt>
                <c:pt idx="1">
                  <c:v>0.18</c:v>
                </c:pt>
                <c:pt idx="2">
                  <c:v>0.18</c:v>
                </c:pt>
                <c:pt idx="3">
                  <c:v>0.18</c:v>
                </c:pt>
                <c:pt idx="4">
                  <c:v>0.18</c:v>
                </c:pt>
                <c:pt idx="5">
                  <c:v>0.18</c:v>
                </c:pt>
                <c:pt idx="6">
                  <c:v>0.18</c:v>
                </c:pt>
                <c:pt idx="7">
                  <c:v>0.18</c:v>
                </c:pt>
                <c:pt idx="8">
                  <c:v>0.18</c:v>
                </c:pt>
                <c:pt idx="9">
                  <c:v>0.18</c:v>
                </c:pt>
                <c:pt idx="10">
                  <c:v>0.18</c:v>
                </c:pt>
                <c:pt idx="11">
                  <c:v>0.18</c:v>
                </c:pt>
                <c:pt idx="12">
                  <c:v>0.18</c:v>
                </c:pt>
                <c:pt idx="13">
                  <c:v>0.18</c:v>
                </c:pt>
                <c:pt idx="14">
                  <c:v>0.18</c:v>
                </c:pt>
                <c:pt idx="15">
                  <c:v>0.18</c:v>
                </c:pt>
                <c:pt idx="16">
                  <c:v>0.18</c:v>
                </c:pt>
                <c:pt idx="17">
                  <c:v>0.18</c:v>
                </c:pt>
                <c:pt idx="18">
                  <c:v>0.18</c:v>
                </c:pt>
                <c:pt idx="19">
                  <c:v>0.18</c:v>
                </c:pt>
                <c:pt idx="20">
                  <c:v>0.18</c:v>
                </c:pt>
                <c:pt idx="21">
                  <c:v>0.18</c:v>
                </c:pt>
                <c:pt idx="22">
                  <c:v>0.18</c:v>
                </c:pt>
                <c:pt idx="23">
                  <c:v>0.18</c:v>
                </c:pt>
                <c:pt idx="24">
                  <c:v>0.18</c:v>
                </c:pt>
                <c:pt idx="25">
                  <c:v>0.18</c:v>
                </c:pt>
                <c:pt idx="26">
                  <c:v>0.18</c:v>
                </c:pt>
                <c:pt idx="27">
                  <c:v>0.18</c:v>
                </c:pt>
                <c:pt idx="28">
                  <c:v>0.18</c:v>
                </c:pt>
                <c:pt idx="29">
                  <c:v>0.18</c:v>
                </c:pt>
                <c:pt idx="30">
                  <c:v>0.18</c:v>
                </c:pt>
                <c:pt idx="31">
                  <c:v>0.18</c:v>
                </c:pt>
                <c:pt idx="32">
                  <c:v>0.18</c:v>
                </c:pt>
                <c:pt idx="33">
                  <c:v>0.18</c:v>
                </c:pt>
                <c:pt idx="34">
                  <c:v>0.18</c:v>
                </c:pt>
                <c:pt idx="35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8C9-4BD0-8521-F5C8C233B7C7}"/>
            </c:ext>
          </c:extLst>
        </c:ser>
        <c:ser>
          <c:idx val="3"/>
          <c:order val="3"/>
          <c:tx>
            <c:strRef>
              <c:f>'Product cost_liter'!$E$3</c:f>
              <c:strCache>
                <c:ptCount val="1"/>
                <c:pt idx="0">
                  <c:v>Висок разход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'Product cost_liter'!$A$4:$A$55</c:f>
              <c:multiLvlStrCache>
                <c:ptCount val="36"/>
                <c:lvl>
                  <c:pt idx="0">
                    <c:v>яну</c:v>
                  </c:pt>
                  <c:pt idx="1">
                    <c:v>фев</c:v>
                  </c:pt>
                  <c:pt idx="2">
                    <c:v>мар</c:v>
                  </c:pt>
                  <c:pt idx="3">
                    <c:v>апр</c:v>
                  </c:pt>
                  <c:pt idx="4">
                    <c:v>май</c:v>
                  </c:pt>
                  <c:pt idx="5">
                    <c:v>юни</c:v>
                  </c:pt>
                  <c:pt idx="6">
                    <c:v>юли</c:v>
                  </c:pt>
                  <c:pt idx="7">
                    <c:v>авг</c:v>
                  </c:pt>
                  <c:pt idx="8">
                    <c:v>сеп</c:v>
                  </c:pt>
                  <c:pt idx="9">
                    <c:v>окт</c:v>
                  </c:pt>
                  <c:pt idx="10">
                    <c:v>ное</c:v>
                  </c:pt>
                  <c:pt idx="11">
                    <c:v>дек</c:v>
                  </c:pt>
                  <c:pt idx="12">
                    <c:v>яну</c:v>
                  </c:pt>
                  <c:pt idx="13">
                    <c:v>фев</c:v>
                  </c:pt>
                  <c:pt idx="14">
                    <c:v>мар</c:v>
                  </c:pt>
                  <c:pt idx="15">
                    <c:v>апр</c:v>
                  </c:pt>
                  <c:pt idx="16">
                    <c:v>май</c:v>
                  </c:pt>
                  <c:pt idx="17">
                    <c:v>юни</c:v>
                  </c:pt>
                  <c:pt idx="18">
                    <c:v>юли</c:v>
                  </c:pt>
                  <c:pt idx="19">
                    <c:v>авг</c:v>
                  </c:pt>
                  <c:pt idx="20">
                    <c:v>сеп</c:v>
                  </c:pt>
                  <c:pt idx="21">
                    <c:v>окт</c:v>
                  </c:pt>
                  <c:pt idx="22">
                    <c:v>ное</c:v>
                  </c:pt>
                  <c:pt idx="23">
                    <c:v>дек</c:v>
                  </c:pt>
                  <c:pt idx="24">
                    <c:v>яну</c:v>
                  </c:pt>
                  <c:pt idx="25">
                    <c:v>фев</c:v>
                  </c:pt>
                  <c:pt idx="26">
                    <c:v>мар</c:v>
                  </c:pt>
                  <c:pt idx="27">
                    <c:v>апр</c:v>
                  </c:pt>
                  <c:pt idx="28">
                    <c:v>май</c:v>
                  </c:pt>
                  <c:pt idx="29">
                    <c:v>юни</c:v>
                  </c:pt>
                  <c:pt idx="30">
                    <c:v>юли</c:v>
                  </c:pt>
                  <c:pt idx="31">
                    <c:v>авг</c:v>
                  </c:pt>
                  <c:pt idx="32">
                    <c:v>сеп</c:v>
                  </c:pt>
                  <c:pt idx="33">
                    <c:v>окт</c:v>
                  </c:pt>
                  <c:pt idx="34">
                    <c:v>ное</c:v>
                  </c:pt>
                  <c:pt idx="35">
                    <c:v>дек</c:v>
                  </c:pt>
                </c:lvl>
                <c:lvl>
                  <c:pt idx="0">
                    <c:v>Трим.1</c:v>
                  </c:pt>
                  <c:pt idx="3">
                    <c:v>Трим.2</c:v>
                  </c:pt>
                  <c:pt idx="6">
                    <c:v>Трим.3</c:v>
                  </c:pt>
                  <c:pt idx="9">
                    <c:v>Трим.4</c:v>
                  </c:pt>
                  <c:pt idx="12">
                    <c:v>Трим.1</c:v>
                  </c:pt>
                  <c:pt idx="15">
                    <c:v>Трим.2</c:v>
                  </c:pt>
                  <c:pt idx="18">
                    <c:v>Трим.3</c:v>
                  </c:pt>
                  <c:pt idx="21">
                    <c:v>Трим.4</c:v>
                  </c:pt>
                  <c:pt idx="24">
                    <c:v>Трим.1</c:v>
                  </c:pt>
                  <c:pt idx="27">
                    <c:v>Трим.2</c:v>
                  </c:pt>
                  <c:pt idx="30">
                    <c:v>Трим.3</c:v>
                  </c:pt>
                  <c:pt idx="33">
                    <c:v>Трим.4</c:v>
                  </c:pt>
                </c:lvl>
                <c:lvl>
                  <c:pt idx="0">
                    <c:v>2019</c:v>
                  </c:pt>
                  <c:pt idx="12">
                    <c:v>2020</c:v>
                  </c:pt>
                  <c:pt idx="24">
                    <c:v>2021</c:v>
                  </c:pt>
                </c:lvl>
              </c:multiLvlStrCache>
            </c:multiLvlStrRef>
          </c:cat>
          <c:val>
            <c:numRef>
              <c:f>'Product cost_liter'!$E$4:$E$55</c:f>
              <c:numCache>
                <c:formatCode>General</c:formatCode>
                <c:ptCount val="36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8C9-4BD0-8521-F5C8C233B7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485361752"/>
        <c:axId val="485355848"/>
      </c:barChart>
      <c:lineChart>
        <c:grouping val="standard"/>
        <c:varyColors val="0"/>
        <c:ser>
          <c:idx val="0"/>
          <c:order val="0"/>
          <c:tx>
            <c:strRef>
              <c:f>'Product cost_liter'!$B$3</c:f>
              <c:strCache>
                <c:ptCount val="1"/>
                <c:pt idx="0">
                  <c:v>Произодствени разходи/литър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'Product cost_liter'!$A$4:$A$55</c:f>
              <c:multiLvlStrCache>
                <c:ptCount val="36"/>
                <c:lvl>
                  <c:pt idx="0">
                    <c:v>яну</c:v>
                  </c:pt>
                  <c:pt idx="1">
                    <c:v>фев</c:v>
                  </c:pt>
                  <c:pt idx="2">
                    <c:v>мар</c:v>
                  </c:pt>
                  <c:pt idx="3">
                    <c:v>апр</c:v>
                  </c:pt>
                  <c:pt idx="4">
                    <c:v>май</c:v>
                  </c:pt>
                  <c:pt idx="5">
                    <c:v>юни</c:v>
                  </c:pt>
                  <c:pt idx="6">
                    <c:v>юли</c:v>
                  </c:pt>
                  <c:pt idx="7">
                    <c:v>авг</c:v>
                  </c:pt>
                  <c:pt idx="8">
                    <c:v>сеп</c:v>
                  </c:pt>
                  <c:pt idx="9">
                    <c:v>окт</c:v>
                  </c:pt>
                  <c:pt idx="10">
                    <c:v>ное</c:v>
                  </c:pt>
                  <c:pt idx="11">
                    <c:v>дек</c:v>
                  </c:pt>
                  <c:pt idx="12">
                    <c:v>яну</c:v>
                  </c:pt>
                  <c:pt idx="13">
                    <c:v>фев</c:v>
                  </c:pt>
                  <c:pt idx="14">
                    <c:v>мар</c:v>
                  </c:pt>
                  <c:pt idx="15">
                    <c:v>апр</c:v>
                  </c:pt>
                  <c:pt idx="16">
                    <c:v>май</c:v>
                  </c:pt>
                  <c:pt idx="17">
                    <c:v>юни</c:v>
                  </c:pt>
                  <c:pt idx="18">
                    <c:v>юли</c:v>
                  </c:pt>
                  <c:pt idx="19">
                    <c:v>авг</c:v>
                  </c:pt>
                  <c:pt idx="20">
                    <c:v>сеп</c:v>
                  </c:pt>
                  <c:pt idx="21">
                    <c:v>окт</c:v>
                  </c:pt>
                  <c:pt idx="22">
                    <c:v>ное</c:v>
                  </c:pt>
                  <c:pt idx="23">
                    <c:v>дек</c:v>
                  </c:pt>
                  <c:pt idx="24">
                    <c:v>яну</c:v>
                  </c:pt>
                  <c:pt idx="25">
                    <c:v>фев</c:v>
                  </c:pt>
                  <c:pt idx="26">
                    <c:v>мар</c:v>
                  </c:pt>
                  <c:pt idx="27">
                    <c:v>апр</c:v>
                  </c:pt>
                  <c:pt idx="28">
                    <c:v>май</c:v>
                  </c:pt>
                  <c:pt idx="29">
                    <c:v>юни</c:v>
                  </c:pt>
                  <c:pt idx="30">
                    <c:v>юли</c:v>
                  </c:pt>
                  <c:pt idx="31">
                    <c:v>авг</c:v>
                  </c:pt>
                  <c:pt idx="32">
                    <c:v>сеп</c:v>
                  </c:pt>
                  <c:pt idx="33">
                    <c:v>окт</c:v>
                  </c:pt>
                  <c:pt idx="34">
                    <c:v>ное</c:v>
                  </c:pt>
                  <c:pt idx="35">
                    <c:v>дек</c:v>
                  </c:pt>
                </c:lvl>
                <c:lvl>
                  <c:pt idx="0">
                    <c:v>Трим.1</c:v>
                  </c:pt>
                  <c:pt idx="3">
                    <c:v>Трим.2</c:v>
                  </c:pt>
                  <c:pt idx="6">
                    <c:v>Трим.3</c:v>
                  </c:pt>
                  <c:pt idx="9">
                    <c:v>Трим.4</c:v>
                  </c:pt>
                  <c:pt idx="12">
                    <c:v>Трим.1</c:v>
                  </c:pt>
                  <c:pt idx="15">
                    <c:v>Трим.2</c:v>
                  </c:pt>
                  <c:pt idx="18">
                    <c:v>Трим.3</c:v>
                  </c:pt>
                  <c:pt idx="21">
                    <c:v>Трим.4</c:v>
                  </c:pt>
                  <c:pt idx="24">
                    <c:v>Трим.1</c:v>
                  </c:pt>
                  <c:pt idx="27">
                    <c:v>Трим.2</c:v>
                  </c:pt>
                  <c:pt idx="30">
                    <c:v>Трим.3</c:v>
                  </c:pt>
                  <c:pt idx="33">
                    <c:v>Трим.4</c:v>
                  </c:pt>
                </c:lvl>
                <c:lvl>
                  <c:pt idx="0">
                    <c:v>2019</c:v>
                  </c:pt>
                  <c:pt idx="12">
                    <c:v>2020</c:v>
                  </c:pt>
                  <c:pt idx="24">
                    <c:v>2021</c:v>
                  </c:pt>
                </c:lvl>
              </c:multiLvlStrCache>
            </c:multiLvlStrRef>
          </c:cat>
          <c:val>
            <c:numRef>
              <c:f>'Product cost_liter'!$B$4:$B$55</c:f>
              <c:numCache>
                <c:formatCode>General</c:formatCode>
                <c:ptCount val="36"/>
                <c:pt idx="0">
                  <c:v>0.85267921824622839</c:v>
                </c:pt>
                <c:pt idx="1">
                  <c:v>0.70023418945042804</c:v>
                </c:pt>
                <c:pt idx="2">
                  <c:v>0.54865305297690503</c:v>
                </c:pt>
                <c:pt idx="3">
                  <c:v>0.37498885463336729</c:v>
                </c:pt>
                <c:pt idx="4">
                  <c:v>0.37323654608639467</c:v>
                </c:pt>
                <c:pt idx="5">
                  <c:v>0.39076863559762165</c:v>
                </c:pt>
                <c:pt idx="6">
                  <c:v>0.3809852610143098</c:v>
                </c:pt>
                <c:pt idx="7">
                  <c:v>0.33386235825147537</c:v>
                </c:pt>
                <c:pt idx="8">
                  <c:v>0.41787238260438608</c:v>
                </c:pt>
                <c:pt idx="9">
                  <c:v>0.53425823412367579</c:v>
                </c:pt>
                <c:pt idx="10">
                  <c:v>0.46689169823156162</c:v>
                </c:pt>
                <c:pt idx="11">
                  <c:v>0.3964907613427493</c:v>
                </c:pt>
                <c:pt idx="12">
                  <c:v>0.56477418284810277</c:v>
                </c:pt>
                <c:pt idx="13">
                  <c:v>0.57164482547458662</c:v>
                </c:pt>
                <c:pt idx="14">
                  <c:v>0.51753498004940157</c:v>
                </c:pt>
                <c:pt idx="15">
                  <c:v>0.53054534598036007</c:v>
                </c:pt>
                <c:pt idx="16">
                  <c:v>0.49524772315266308</c:v>
                </c:pt>
                <c:pt idx="17">
                  <c:v>0.54654453364518474</c:v>
                </c:pt>
                <c:pt idx="18">
                  <c:v>0.53839811027593099</c:v>
                </c:pt>
                <c:pt idx="19">
                  <c:v>0.51809648048749224</c:v>
                </c:pt>
                <c:pt idx="20">
                  <c:v>0.57415574787542034</c:v>
                </c:pt>
                <c:pt idx="21">
                  <c:v>0.60422624383002721</c:v>
                </c:pt>
                <c:pt idx="22">
                  <c:v>0.73743640962933243</c:v>
                </c:pt>
                <c:pt idx="23">
                  <c:v>0.6765506680850456</c:v>
                </c:pt>
                <c:pt idx="24">
                  <c:v>0.53607300871322761</c:v>
                </c:pt>
                <c:pt idx="25">
                  <c:v>0.5933343108386594</c:v>
                </c:pt>
                <c:pt idx="26">
                  <c:v>0.64180519338072173</c:v>
                </c:pt>
                <c:pt idx="27">
                  <c:v>0.65068187497901897</c:v>
                </c:pt>
                <c:pt idx="28">
                  <c:v>0.4788055072670544</c:v>
                </c:pt>
                <c:pt idx="29">
                  <c:v>0.61985241349850484</c:v>
                </c:pt>
                <c:pt idx="30">
                  <c:v>0.69683436715753588</c:v>
                </c:pt>
                <c:pt idx="31">
                  <c:v>0.6495639551192145</c:v>
                </c:pt>
                <c:pt idx="32">
                  <c:v>0.58222169930166334</c:v>
                </c:pt>
                <c:pt idx="33">
                  <c:v>0.5718796872967935</c:v>
                </c:pt>
                <c:pt idx="34">
                  <c:v>0.78315438368776136</c:v>
                </c:pt>
                <c:pt idx="35">
                  <c:v>0.79511521696009135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C9-4BD0-8521-F5C8C233B7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947168"/>
        <c:axId val="489954712"/>
      </c:lineChart>
      <c:catAx>
        <c:axId val="4853617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bg-BG"/>
                  <a:t>Дата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5355848"/>
        <c:crosses val="autoZero"/>
        <c:auto val="1"/>
        <c:lblAlgn val="ctr"/>
        <c:lblOffset val="100"/>
        <c:noMultiLvlLbl val="0"/>
      </c:catAx>
      <c:valAx>
        <c:axId val="485355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bg-BG"/>
                  <a:t>лв./литър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5361752"/>
        <c:crosses val="autoZero"/>
        <c:crossBetween val="between"/>
      </c:valAx>
      <c:valAx>
        <c:axId val="489954712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489947168"/>
        <c:crosses val="max"/>
        <c:crossBetween val="between"/>
      </c:valAx>
      <c:catAx>
        <c:axId val="4899471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99547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[st.zagora_dashboard4.xlsx]Milk_feed!Обобщена таблица4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bg-BG"/>
              <a:t>Съотношение</a:t>
            </a:r>
            <a:r>
              <a:rPr lang="bg-BG" baseline="0"/>
              <a:t> между приход от мляко и разходи за фураж</a:t>
            </a:r>
            <a:endParaRPr lang="bg-BG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Milk_feed!$C$3</c:f>
              <c:strCache>
                <c:ptCount val="1"/>
                <c:pt idx="0">
                  <c:v>Намалени приходи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Milk_feed!$A$4:$A$55</c:f>
              <c:multiLvlStrCache>
                <c:ptCount val="36"/>
                <c:lvl>
                  <c:pt idx="0">
                    <c:v>яну</c:v>
                  </c:pt>
                  <c:pt idx="1">
                    <c:v>фев</c:v>
                  </c:pt>
                  <c:pt idx="2">
                    <c:v>мар</c:v>
                  </c:pt>
                  <c:pt idx="3">
                    <c:v>апр</c:v>
                  </c:pt>
                  <c:pt idx="4">
                    <c:v>май</c:v>
                  </c:pt>
                  <c:pt idx="5">
                    <c:v>юни</c:v>
                  </c:pt>
                  <c:pt idx="6">
                    <c:v>юли</c:v>
                  </c:pt>
                  <c:pt idx="7">
                    <c:v>авг</c:v>
                  </c:pt>
                  <c:pt idx="8">
                    <c:v>сеп</c:v>
                  </c:pt>
                  <c:pt idx="9">
                    <c:v>окт</c:v>
                  </c:pt>
                  <c:pt idx="10">
                    <c:v>ное</c:v>
                  </c:pt>
                  <c:pt idx="11">
                    <c:v>дек</c:v>
                  </c:pt>
                  <c:pt idx="12">
                    <c:v>яну</c:v>
                  </c:pt>
                  <c:pt idx="13">
                    <c:v>фев</c:v>
                  </c:pt>
                  <c:pt idx="14">
                    <c:v>мар</c:v>
                  </c:pt>
                  <c:pt idx="15">
                    <c:v>апр</c:v>
                  </c:pt>
                  <c:pt idx="16">
                    <c:v>май</c:v>
                  </c:pt>
                  <c:pt idx="17">
                    <c:v>юни</c:v>
                  </c:pt>
                  <c:pt idx="18">
                    <c:v>юли</c:v>
                  </c:pt>
                  <c:pt idx="19">
                    <c:v>авг</c:v>
                  </c:pt>
                  <c:pt idx="20">
                    <c:v>сеп</c:v>
                  </c:pt>
                  <c:pt idx="21">
                    <c:v>окт</c:v>
                  </c:pt>
                  <c:pt idx="22">
                    <c:v>ное</c:v>
                  </c:pt>
                  <c:pt idx="23">
                    <c:v>дек</c:v>
                  </c:pt>
                  <c:pt idx="24">
                    <c:v>яну</c:v>
                  </c:pt>
                  <c:pt idx="25">
                    <c:v>фев</c:v>
                  </c:pt>
                  <c:pt idx="26">
                    <c:v>мар</c:v>
                  </c:pt>
                  <c:pt idx="27">
                    <c:v>апр</c:v>
                  </c:pt>
                  <c:pt idx="28">
                    <c:v>май</c:v>
                  </c:pt>
                  <c:pt idx="29">
                    <c:v>юни</c:v>
                  </c:pt>
                  <c:pt idx="30">
                    <c:v>юли</c:v>
                  </c:pt>
                  <c:pt idx="31">
                    <c:v>авг</c:v>
                  </c:pt>
                  <c:pt idx="32">
                    <c:v>сеп</c:v>
                  </c:pt>
                  <c:pt idx="33">
                    <c:v>окт</c:v>
                  </c:pt>
                  <c:pt idx="34">
                    <c:v>ное</c:v>
                  </c:pt>
                  <c:pt idx="35">
                    <c:v>дек</c:v>
                  </c:pt>
                </c:lvl>
                <c:lvl>
                  <c:pt idx="0">
                    <c:v>Трим.1</c:v>
                  </c:pt>
                  <c:pt idx="3">
                    <c:v>Трим.2</c:v>
                  </c:pt>
                  <c:pt idx="6">
                    <c:v>Трим.3</c:v>
                  </c:pt>
                  <c:pt idx="9">
                    <c:v>Трим.4</c:v>
                  </c:pt>
                  <c:pt idx="12">
                    <c:v>Трим.1</c:v>
                  </c:pt>
                  <c:pt idx="15">
                    <c:v>Трим.2</c:v>
                  </c:pt>
                  <c:pt idx="18">
                    <c:v>Трим.3</c:v>
                  </c:pt>
                  <c:pt idx="21">
                    <c:v>Трим.4</c:v>
                  </c:pt>
                  <c:pt idx="24">
                    <c:v>Трим.1</c:v>
                  </c:pt>
                  <c:pt idx="27">
                    <c:v>Трим.2</c:v>
                  </c:pt>
                  <c:pt idx="30">
                    <c:v>Трим.3</c:v>
                  </c:pt>
                  <c:pt idx="33">
                    <c:v>Трим.4</c:v>
                  </c:pt>
                </c:lvl>
                <c:lvl>
                  <c:pt idx="0">
                    <c:v>2019</c:v>
                  </c:pt>
                  <c:pt idx="12">
                    <c:v>2020</c:v>
                  </c:pt>
                  <c:pt idx="24">
                    <c:v>2021</c:v>
                  </c:pt>
                </c:lvl>
              </c:multiLvlStrCache>
            </c:multiLvlStrRef>
          </c:cat>
          <c:val>
            <c:numRef>
              <c:f>Milk_feed!$C$4:$C$55</c:f>
              <c:numCache>
                <c:formatCode>General</c:formatCode>
                <c:ptCount val="36"/>
                <c:pt idx="0">
                  <c:v>1.43</c:v>
                </c:pt>
                <c:pt idx="1">
                  <c:v>1.43</c:v>
                </c:pt>
                <c:pt idx="2">
                  <c:v>1.43</c:v>
                </c:pt>
                <c:pt idx="3">
                  <c:v>1.43</c:v>
                </c:pt>
                <c:pt idx="4">
                  <c:v>1.43</c:v>
                </c:pt>
                <c:pt idx="5">
                  <c:v>1.43</c:v>
                </c:pt>
                <c:pt idx="6">
                  <c:v>1.43</c:v>
                </c:pt>
                <c:pt idx="7">
                  <c:v>1.43</c:v>
                </c:pt>
                <c:pt idx="8">
                  <c:v>1.43</c:v>
                </c:pt>
                <c:pt idx="9">
                  <c:v>1.43</c:v>
                </c:pt>
                <c:pt idx="10">
                  <c:v>1.43</c:v>
                </c:pt>
                <c:pt idx="11">
                  <c:v>1.43</c:v>
                </c:pt>
                <c:pt idx="12">
                  <c:v>1.43</c:v>
                </c:pt>
                <c:pt idx="13">
                  <c:v>1.43</c:v>
                </c:pt>
                <c:pt idx="14">
                  <c:v>1.43</c:v>
                </c:pt>
                <c:pt idx="15">
                  <c:v>1.43</c:v>
                </c:pt>
                <c:pt idx="16">
                  <c:v>1.43</c:v>
                </c:pt>
                <c:pt idx="17">
                  <c:v>1.43</c:v>
                </c:pt>
                <c:pt idx="18">
                  <c:v>1.43</c:v>
                </c:pt>
                <c:pt idx="19">
                  <c:v>1.43</c:v>
                </c:pt>
                <c:pt idx="20">
                  <c:v>1.43</c:v>
                </c:pt>
                <c:pt idx="21">
                  <c:v>1.43</c:v>
                </c:pt>
                <c:pt idx="22">
                  <c:v>1.43</c:v>
                </c:pt>
                <c:pt idx="23">
                  <c:v>1.43</c:v>
                </c:pt>
                <c:pt idx="24">
                  <c:v>1.43</c:v>
                </c:pt>
                <c:pt idx="25">
                  <c:v>1.43</c:v>
                </c:pt>
                <c:pt idx="26">
                  <c:v>1.43</c:v>
                </c:pt>
                <c:pt idx="27">
                  <c:v>1.43</c:v>
                </c:pt>
                <c:pt idx="28">
                  <c:v>1.43</c:v>
                </c:pt>
                <c:pt idx="29">
                  <c:v>1.43</c:v>
                </c:pt>
                <c:pt idx="30">
                  <c:v>1.43</c:v>
                </c:pt>
                <c:pt idx="31">
                  <c:v>1.43</c:v>
                </c:pt>
                <c:pt idx="32">
                  <c:v>1.43</c:v>
                </c:pt>
                <c:pt idx="33">
                  <c:v>1.43</c:v>
                </c:pt>
                <c:pt idx="34">
                  <c:v>1.43</c:v>
                </c:pt>
                <c:pt idx="35">
                  <c:v>1.43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A3-48B7-B158-A39E1093989E}"/>
            </c:ext>
          </c:extLst>
        </c:ser>
        <c:ser>
          <c:idx val="2"/>
          <c:order val="2"/>
          <c:tx>
            <c:strRef>
              <c:f>Milk_feed!$D$3</c:f>
              <c:strCache>
                <c:ptCount val="1"/>
                <c:pt idx="0">
                  <c:v>Устойчиви приходи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Milk_feed!$A$4:$A$55</c:f>
              <c:multiLvlStrCache>
                <c:ptCount val="36"/>
                <c:lvl>
                  <c:pt idx="0">
                    <c:v>яну</c:v>
                  </c:pt>
                  <c:pt idx="1">
                    <c:v>фев</c:v>
                  </c:pt>
                  <c:pt idx="2">
                    <c:v>мар</c:v>
                  </c:pt>
                  <c:pt idx="3">
                    <c:v>апр</c:v>
                  </c:pt>
                  <c:pt idx="4">
                    <c:v>май</c:v>
                  </c:pt>
                  <c:pt idx="5">
                    <c:v>юни</c:v>
                  </c:pt>
                  <c:pt idx="6">
                    <c:v>юли</c:v>
                  </c:pt>
                  <c:pt idx="7">
                    <c:v>авг</c:v>
                  </c:pt>
                  <c:pt idx="8">
                    <c:v>сеп</c:v>
                  </c:pt>
                  <c:pt idx="9">
                    <c:v>окт</c:v>
                  </c:pt>
                  <c:pt idx="10">
                    <c:v>ное</c:v>
                  </c:pt>
                  <c:pt idx="11">
                    <c:v>дек</c:v>
                  </c:pt>
                  <c:pt idx="12">
                    <c:v>яну</c:v>
                  </c:pt>
                  <c:pt idx="13">
                    <c:v>фев</c:v>
                  </c:pt>
                  <c:pt idx="14">
                    <c:v>мар</c:v>
                  </c:pt>
                  <c:pt idx="15">
                    <c:v>апр</c:v>
                  </c:pt>
                  <c:pt idx="16">
                    <c:v>май</c:v>
                  </c:pt>
                  <c:pt idx="17">
                    <c:v>юни</c:v>
                  </c:pt>
                  <c:pt idx="18">
                    <c:v>юли</c:v>
                  </c:pt>
                  <c:pt idx="19">
                    <c:v>авг</c:v>
                  </c:pt>
                  <c:pt idx="20">
                    <c:v>сеп</c:v>
                  </c:pt>
                  <c:pt idx="21">
                    <c:v>окт</c:v>
                  </c:pt>
                  <c:pt idx="22">
                    <c:v>ное</c:v>
                  </c:pt>
                  <c:pt idx="23">
                    <c:v>дек</c:v>
                  </c:pt>
                  <c:pt idx="24">
                    <c:v>яну</c:v>
                  </c:pt>
                  <c:pt idx="25">
                    <c:v>фев</c:v>
                  </c:pt>
                  <c:pt idx="26">
                    <c:v>мар</c:v>
                  </c:pt>
                  <c:pt idx="27">
                    <c:v>апр</c:v>
                  </c:pt>
                  <c:pt idx="28">
                    <c:v>май</c:v>
                  </c:pt>
                  <c:pt idx="29">
                    <c:v>юни</c:v>
                  </c:pt>
                  <c:pt idx="30">
                    <c:v>юли</c:v>
                  </c:pt>
                  <c:pt idx="31">
                    <c:v>авг</c:v>
                  </c:pt>
                  <c:pt idx="32">
                    <c:v>сеп</c:v>
                  </c:pt>
                  <c:pt idx="33">
                    <c:v>окт</c:v>
                  </c:pt>
                  <c:pt idx="34">
                    <c:v>ное</c:v>
                  </c:pt>
                  <c:pt idx="35">
                    <c:v>дек</c:v>
                  </c:pt>
                </c:lvl>
                <c:lvl>
                  <c:pt idx="0">
                    <c:v>Трим.1</c:v>
                  </c:pt>
                  <c:pt idx="3">
                    <c:v>Трим.2</c:v>
                  </c:pt>
                  <c:pt idx="6">
                    <c:v>Трим.3</c:v>
                  </c:pt>
                  <c:pt idx="9">
                    <c:v>Трим.4</c:v>
                  </c:pt>
                  <c:pt idx="12">
                    <c:v>Трим.1</c:v>
                  </c:pt>
                  <c:pt idx="15">
                    <c:v>Трим.2</c:v>
                  </c:pt>
                  <c:pt idx="18">
                    <c:v>Трим.3</c:v>
                  </c:pt>
                  <c:pt idx="21">
                    <c:v>Трим.4</c:v>
                  </c:pt>
                  <c:pt idx="24">
                    <c:v>Трим.1</c:v>
                  </c:pt>
                  <c:pt idx="27">
                    <c:v>Трим.2</c:v>
                  </c:pt>
                  <c:pt idx="30">
                    <c:v>Трим.3</c:v>
                  </c:pt>
                  <c:pt idx="33">
                    <c:v>Трим.4</c:v>
                  </c:pt>
                </c:lvl>
                <c:lvl>
                  <c:pt idx="0">
                    <c:v>2019</c:v>
                  </c:pt>
                  <c:pt idx="12">
                    <c:v>2020</c:v>
                  </c:pt>
                  <c:pt idx="24">
                    <c:v>2021</c:v>
                  </c:pt>
                </c:lvl>
              </c:multiLvlStrCache>
            </c:multiLvlStrRef>
          </c:cat>
          <c:val>
            <c:numRef>
              <c:f>Milk_feed!$D$4:$D$55</c:f>
              <c:numCache>
                <c:formatCode>General</c:formatCode>
                <c:ptCount val="36"/>
                <c:pt idx="0">
                  <c:v>0.65</c:v>
                </c:pt>
                <c:pt idx="1">
                  <c:v>0.65</c:v>
                </c:pt>
                <c:pt idx="2">
                  <c:v>0.65</c:v>
                </c:pt>
                <c:pt idx="3">
                  <c:v>0.65</c:v>
                </c:pt>
                <c:pt idx="4">
                  <c:v>0.65</c:v>
                </c:pt>
                <c:pt idx="5">
                  <c:v>0.65</c:v>
                </c:pt>
                <c:pt idx="6">
                  <c:v>0.65</c:v>
                </c:pt>
                <c:pt idx="7">
                  <c:v>0.65</c:v>
                </c:pt>
                <c:pt idx="8">
                  <c:v>0.65</c:v>
                </c:pt>
                <c:pt idx="9">
                  <c:v>0.65</c:v>
                </c:pt>
                <c:pt idx="10">
                  <c:v>0.65</c:v>
                </c:pt>
                <c:pt idx="11">
                  <c:v>0.65</c:v>
                </c:pt>
                <c:pt idx="12">
                  <c:v>0.65</c:v>
                </c:pt>
                <c:pt idx="13">
                  <c:v>0.65</c:v>
                </c:pt>
                <c:pt idx="14">
                  <c:v>0.65</c:v>
                </c:pt>
                <c:pt idx="15">
                  <c:v>0.65</c:v>
                </c:pt>
                <c:pt idx="16">
                  <c:v>0.65</c:v>
                </c:pt>
                <c:pt idx="17">
                  <c:v>0.65</c:v>
                </c:pt>
                <c:pt idx="18">
                  <c:v>0.65</c:v>
                </c:pt>
                <c:pt idx="19">
                  <c:v>0.65</c:v>
                </c:pt>
                <c:pt idx="20">
                  <c:v>0.65</c:v>
                </c:pt>
                <c:pt idx="21">
                  <c:v>0.65</c:v>
                </c:pt>
                <c:pt idx="22">
                  <c:v>0.65</c:v>
                </c:pt>
                <c:pt idx="23">
                  <c:v>0.65</c:v>
                </c:pt>
                <c:pt idx="24">
                  <c:v>0.65</c:v>
                </c:pt>
                <c:pt idx="25">
                  <c:v>0.65</c:v>
                </c:pt>
                <c:pt idx="26">
                  <c:v>0.65</c:v>
                </c:pt>
                <c:pt idx="27">
                  <c:v>0.65</c:v>
                </c:pt>
                <c:pt idx="28">
                  <c:v>0.65</c:v>
                </c:pt>
                <c:pt idx="29">
                  <c:v>0.65</c:v>
                </c:pt>
                <c:pt idx="30">
                  <c:v>0.65</c:v>
                </c:pt>
                <c:pt idx="31">
                  <c:v>0.65</c:v>
                </c:pt>
                <c:pt idx="32">
                  <c:v>0.65</c:v>
                </c:pt>
                <c:pt idx="33">
                  <c:v>0.65</c:v>
                </c:pt>
                <c:pt idx="34">
                  <c:v>0.65</c:v>
                </c:pt>
                <c:pt idx="35">
                  <c:v>0.65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2A3-48B7-B158-A39E1093989E}"/>
            </c:ext>
          </c:extLst>
        </c:ser>
        <c:ser>
          <c:idx val="3"/>
          <c:order val="3"/>
          <c:tx>
            <c:strRef>
              <c:f>Milk_feed!$E$3</c:f>
              <c:strCache>
                <c:ptCount val="1"/>
                <c:pt idx="0">
                  <c:v>Повишени приходи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Milk_feed!$A$4:$A$55</c:f>
              <c:multiLvlStrCache>
                <c:ptCount val="36"/>
                <c:lvl>
                  <c:pt idx="0">
                    <c:v>яну</c:v>
                  </c:pt>
                  <c:pt idx="1">
                    <c:v>фев</c:v>
                  </c:pt>
                  <c:pt idx="2">
                    <c:v>мар</c:v>
                  </c:pt>
                  <c:pt idx="3">
                    <c:v>апр</c:v>
                  </c:pt>
                  <c:pt idx="4">
                    <c:v>май</c:v>
                  </c:pt>
                  <c:pt idx="5">
                    <c:v>юни</c:v>
                  </c:pt>
                  <c:pt idx="6">
                    <c:v>юли</c:v>
                  </c:pt>
                  <c:pt idx="7">
                    <c:v>авг</c:v>
                  </c:pt>
                  <c:pt idx="8">
                    <c:v>сеп</c:v>
                  </c:pt>
                  <c:pt idx="9">
                    <c:v>окт</c:v>
                  </c:pt>
                  <c:pt idx="10">
                    <c:v>ное</c:v>
                  </c:pt>
                  <c:pt idx="11">
                    <c:v>дек</c:v>
                  </c:pt>
                  <c:pt idx="12">
                    <c:v>яну</c:v>
                  </c:pt>
                  <c:pt idx="13">
                    <c:v>фев</c:v>
                  </c:pt>
                  <c:pt idx="14">
                    <c:v>мар</c:v>
                  </c:pt>
                  <c:pt idx="15">
                    <c:v>апр</c:v>
                  </c:pt>
                  <c:pt idx="16">
                    <c:v>май</c:v>
                  </c:pt>
                  <c:pt idx="17">
                    <c:v>юни</c:v>
                  </c:pt>
                  <c:pt idx="18">
                    <c:v>юли</c:v>
                  </c:pt>
                  <c:pt idx="19">
                    <c:v>авг</c:v>
                  </c:pt>
                  <c:pt idx="20">
                    <c:v>сеп</c:v>
                  </c:pt>
                  <c:pt idx="21">
                    <c:v>окт</c:v>
                  </c:pt>
                  <c:pt idx="22">
                    <c:v>ное</c:v>
                  </c:pt>
                  <c:pt idx="23">
                    <c:v>дек</c:v>
                  </c:pt>
                  <c:pt idx="24">
                    <c:v>яну</c:v>
                  </c:pt>
                  <c:pt idx="25">
                    <c:v>фев</c:v>
                  </c:pt>
                  <c:pt idx="26">
                    <c:v>мар</c:v>
                  </c:pt>
                  <c:pt idx="27">
                    <c:v>апр</c:v>
                  </c:pt>
                  <c:pt idx="28">
                    <c:v>май</c:v>
                  </c:pt>
                  <c:pt idx="29">
                    <c:v>юни</c:v>
                  </c:pt>
                  <c:pt idx="30">
                    <c:v>юли</c:v>
                  </c:pt>
                  <c:pt idx="31">
                    <c:v>авг</c:v>
                  </c:pt>
                  <c:pt idx="32">
                    <c:v>сеп</c:v>
                  </c:pt>
                  <c:pt idx="33">
                    <c:v>окт</c:v>
                  </c:pt>
                  <c:pt idx="34">
                    <c:v>ное</c:v>
                  </c:pt>
                  <c:pt idx="35">
                    <c:v>дек</c:v>
                  </c:pt>
                </c:lvl>
                <c:lvl>
                  <c:pt idx="0">
                    <c:v>Трим.1</c:v>
                  </c:pt>
                  <c:pt idx="3">
                    <c:v>Трим.2</c:v>
                  </c:pt>
                  <c:pt idx="6">
                    <c:v>Трим.3</c:v>
                  </c:pt>
                  <c:pt idx="9">
                    <c:v>Трим.4</c:v>
                  </c:pt>
                  <c:pt idx="12">
                    <c:v>Трим.1</c:v>
                  </c:pt>
                  <c:pt idx="15">
                    <c:v>Трим.2</c:v>
                  </c:pt>
                  <c:pt idx="18">
                    <c:v>Трим.3</c:v>
                  </c:pt>
                  <c:pt idx="21">
                    <c:v>Трим.4</c:v>
                  </c:pt>
                  <c:pt idx="24">
                    <c:v>Трим.1</c:v>
                  </c:pt>
                  <c:pt idx="27">
                    <c:v>Трим.2</c:v>
                  </c:pt>
                  <c:pt idx="30">
                    <c:v>Трим.3</c:v>
                  </c:pt>
                  <c:pt idx="33">
                    <c:v>Трим.4</c:v>
                  </c:pt>
                </c:lvl>
                <c:lvl>
                  <c:pt idx="0">
                    <c:v>2019</c:v>
                  </c:pt>
                  <c:pt idx="12">
                    <c:v>2020</c:v>
                  </c:pt>
                  <c:pt idx="24">
                    <c:v>2021</c:v>
                  </c:pt>
                </c:lvl>
              </c:multiLvlStrCache>
            </c:multiLvlStrRef>
          </c:cat>
          <c:val>
            <c:numRef>
              <c:f>Milk_feed!$E$4:$E$55</c:f>
              <c:numCache>
                <c:formatCode>General</c:formatCode>
                <c:ptCount val="36"/>
                <c:pt idx="0">
                  <c:v>0.64</c:v>
                </c:pt>
                <c:pt idx="1">
                  <c:v>0.64</c:v>
                </c:pt>
                <c:pt idx="2">
                  <c:v>0.64</c:v>
                </c:pt>
                <c:pt idx="3">
                  <c:v>0.64</c:v>
                </c:pt>
                <c:pt idx="4">
                  <c:v>0.64</c:v>
                </c:pt>
                <c:pt idx="5">
                  <c:v>0.64</c:v>
                </c:pt>
                <c:pt idx="6">
                  <c:v>0.64</c:v>
                </c:pt>
                <c:pt idx="7">
                  <c:v>0.64</c:v>
                </c:pt>
                <c:pt idx="8">
                  <c:v>0.64</c:v>
                </c:pt>
                <c:pt idx="9">
                  <c:v>0.64</c:v>
                </c:pt>
                <c:pt idx="10">
                  <c:v>0.64</c:v>
                </c:pt>
                <c:pt idx="11">
                  <c:v>0.64</c:v>
                </c:pt>
                <c:pt idx="12">
                  <c:v>0.64</c:v>
                </c:pt>
                <c:pt idx="13">
                  <c:v>0.64</c:v>
                </c:pt>
                <c:pt idx="14">
                  <c:v>0.64</c:v>
                </c:pt>
                <c:pt idx="15">
                  <c:v>0.64</c:v>
                </c:pt>
                <c:pt idx="16">
                  <c:v>0.64</c:v>
                </c:pt>
                <c:pt idx="17">
                  <c:v>0.64</c:v>
                </c:pt>
                <c:pt idx="18">
                  <c:v>0.64</c:v>
                </c:pt>
                <c:pt idx="19">
                  <c:v>0.64</c:v>
                </c:pt>
                <c:pt idx="20">
                  <c:v>0.64</c:v>
                </c:pt>
                <c:pt idx="21">
                  <c:v>0.64</c:v>
                </c:pt>
                <c:pt idx="22">
                  <c:v>0.64</c:v>
                </c:pt>
                <c:pt idx="23">
                  <c:v>0.64</c:v>
                </c:pt>
                <c:pt idx="24">
                  <c:v>0.64</c:v>
                </c:pt>
                <c:pt idx="25">
                  <c:v>0.64</c:v>
                </c:pt>
                <c:pt idx="26">
                  <c:v>0.64</c:v>
                </c:pt>
                <c:pt idx="27">
                  <c:v>0.64</c:v>
                </c:pt>
                <c:pt idx="28">
                  <c:v>0.64</c:v>
                </c:pt>
                <c:pt idx="29">
                  <c:v>0.64</c:v>
                </c:pt>
                <c:pt idx="30">
                  <c:v>0.64</c:v>
                </c:pt>
                <c:pt idx="31">
                  <c:v>0.64</c:v>
                </c:pt>
                <c:pt idx="32">
                  <c:v>0.64</c:v>
                </c:pt>
                <c:pt idx="33">
                  <c:v>0.64</c:v>
                </c:pt>
                <c:pt idx="34">
                  <c:v>0.64</c:v>
                </c:pt>
                <c:pt idx="35">
                  <c:v>0.64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2A3-48B7-B158-A39E109398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453695832"/>
        <c:axId val="452833032"/>
      </c:barChart>
      <c:lineChart>
        <c:grouping val="standard"/>
        <c:varyColors val="0"/>
        <c:ser>
          <c:idx val="0"/>
          <c:order val="0"/>
          <c:tx>
            <c:strRef>
              <c:f>Milk_feed!$B$3</c:f>
              <c:strCache>
                <c:ptCount val="1"/>
                <c:pt idx="0">
                  <c:v>Съотношение Мляко/Фураж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Milk_feed!$A$4:$A$55</c:f>
              <c:multiLvlStrCache>
                <c:ptCount val="36"/>
                <c:lvl>
                  <c:pt idx="0">
                    <c:v>яну</c:v>
                  </c:pt>
                  <c:pt idx="1">
                    <c:v>фев</c:v>
                  </c:pt>
                  <c:pt idx="2">
                    <c:v>мар</c:v>
                  </c:pt>
                  <c:pt idx="3">
                    <c:v>апр</c:v>
                  </c:pt>
                  <c:pt idx="4">
                    <c:v>май</c:v>
                  </c:pt>
                  <c:pt idx="5">
                    <c:v>юни</c:v>
                  </c:pt>
                  <c:pt idx="6">
                    <c:v>юли</c:v>
                  </c:pt>
                  <c:pt idx="7">
                    <c:v>авг</c:v>
                  </c:pt>
                  <c:pt idx="8">
                    <c:v>сеп</c:v>
                  </c:pt>
                  <c:pt idx="9">
                    <c:v>окт</c:v>
                  </c:pt>
                  <c:pt idx="10">
                    <c:v>ное</c:v>
                  </c:pt>
                  <c:pt idx="11">
                    <c:v>дек</c:v>
                  </c:pt>
                  <c:pt idx="12">
                    <c:v>яну</c:v>
                  </c:pt>
                  <c:pt idx="13">
                    <c:v>фев</c:v>
                  </c:pt>
                  <c:pt idx="14">
                    <c:v>мар</c:v>
                  </c:pt>
                  <c:pt idx="15">
                    <c:v>апр</c:v>
                  </c:pt>
                  <c:pt idx="16">
                    <c:v>май</c:v>
                  </c:pt>
                  <c:pt idx="17">
                    <c:v>юни</c:v>
                  </c:pt>
                  <c:pt idx="18">
                    <c:v>юли</c:v>
                  </c:pt>
                  <c:pt idx="19">
                    <c:v>авг</c:v>
                  </c:pt>
                  <c:pt idx="20">
                    <c:v>сеп</c:v>
                  </c:pt>
                  <c:pt idx="21">
                    <c:v>окт</c:v>
                  </c:pt>
                  <c:pt idx="22">
                    <c:v>ное</c:v>
                  </c:pt>
                  <c:pt idx="23">
                    <c:v>дек</c:v>
                  </c:pt>
                  <c:pt idx="24">
                    <c:v>яну</c:v>
                  </c:pt>
                  <c:pt idx="25">
                    <c:v>фев</c:v>
                  </c:pt>
                  <c:pt idx="26">
                    <c:v>мар</c:v>
                  </c:pt>
                  <c:pt idx="27">
                    <c:v>апр</c:v>
                  </c:pt>
                  <c:pt idx="28">
                    <c:v>май</c:v>
                  </c:pt>
                  <c:pt idx="29">
                    <c:v>юни</c:v>
                  </c:pt>
                  <c:pt idx="30">
                    <c:v>юли</c:v>
                  </c:pt>
                  <c:pt idx="31">
                    <c:v>авг</c:v>
                  </c:pt>
                  <c:pt idx="32">
                    <c:v>сеп</c:v>
                  </c:pt>
                  <c:pt idx="33">
                    <c:v>окт</c:v>
                  </c:pt>
                  <c:pt idx="34">
                    <c:v>ное</c:v>
                  </c:pt>
                  <c:pt idx="35">
                    <c:v>дек</c:v>
                  </c:pt>
                </c:lvl>
                <c:lvl>
                  <c:pt idx="0">
                    <c:v>Трим.1</c:v>
                  </c:pt>
                  <c:pt idx="3">
                    <c:v>Трим.2</c:v>
                  </c:pt>
                  <c:pt idx="6">
                    <c:v>Трим.3</c:v>
                  </c:pt>
                  <c:pt idx="9">
                    <c:v>Трим.4</c:v>
                  </c:pt>
                  <c:pt idx="12">
                    <c:v>Трим.1</c:v>
                  </c:pt>
                  <c:pt idx="15">
                    <c:v>Трим.2</c:v>
                  </c:pt>
                  <c:pt idx="18">
                    <c:v>Трим.3</c:v>
                  </c:pt>
                  <c:pt idx="21">
                    <c:v>Трим.4</c:v>
                  </c:pt>
                  <c:pt idx="24">
                    <c:v>Трим.1</c:v>
                  </c:pt>
                  <c:pt idx="27">
                    <c:v>Трим.2</c:v>
                  </c:pt>
                  <c:pt idx="30">
                    <c:v>Трим.3</c:v>
                  </c:pt>
                  <c:pt idx="33">
                    <c:v>Трим.4</c:v>
                  </c:pt>
                </c:lvl>
                <c:lvl>
                  <c:pt idx="0">
                    <c:v>2019</c:v>
                  </c:pt>
                  <c:pt idx="12">
                    <c:v>2020</c:v>
                  </c:pt>
                  <c:pt idx="24">
                    <c:v>2021</c:v>
                  </c:pt>
                </c:lvl>
              </c:multiLvlStrCache>
            </c:multiLvlStrRef>
          </c:cat>
          <c:val>
            <c:numRef>
              <c:f>Milk_feed!$B$4:$B$55</c:f>
              <c:numCache>
                <c:formatCode>General</c:formatCode>
                <c:ptCount val="36"/>
                <c:pt idx="0">
                  <c:v>0.98733458372919924</c:v>
                </c:pt>
                <c:pt idx="1">
                  <c:v>1.2397789110203643</c:v>
                </c:pt>
                <c:pt idx="2">
                  <c:v>1.4713420982996925</c:v>
                </c:pt>
                <c:pt idx="3">
                  <c:v>2.3067464804160545</c:v>
                </c:pt>
                <c:pt idx="4">
                  <c:v>2.3104486016133867</c:v>
                </c:pt>
                <c:pt idx="5">
                  <c:v>2.2054087678613854</c:v>
                </c:pt>
                <c:pt idx="6">
                  <c:v>2.3835389590859184</c:v>
                </c:pt>
                <c:pt idx="7">
                  <c:v>2.7107345149509694</c:v>
                </c:pt>
                <c:pt idx="8">
                  <c:v>2.0748997529416568</c:v>
                </c:pt>
                <c:pt idx="9">
                  <c:v>1.7393287983186514</c:v>
                </c:pt>
                <c:pt idx="10">
                  <c:v>2.0942772415948991</c:v>
                </c:pt>
                <c:pt idx="11">
                  <c:v>2.5267084464617682</c:v>
                </c:pt>
                <c:pt idx="12">
                  <c:v>1.7570946222639847</c:v>
                </c:pt>
                <c:pt idx="13">
                  <c:v>1.7841733060559506</c:v>
                </c:pt>
                <c:pt idx="14">
                  <c:v>1.9012544377798193</c:v>
                </c:pt>
                <c:pt idx="15">
                  <c:v>1.8702239088903025</c:v>
                </c:pt>
                <c:pt idx="16">
                  <c:v>1.7366671241656753</c:v>
                </c:pt>
                <c:pt idx="17">
                  <c:v>1.6525606756686053</c:v>
                </c:pt>
                <c:pt idx="18">
                  <c:v>1.7186701261761372</c:v>
                </c:pt>
                <c:pt idx="19">
                  <c:v>1.6693499330923309</c:v>
                </c:pt>
                <c:pt idx="20">
                  <c:v>1.4694297621649903</c:v>
                </c:pt>
                <c:pt idx="21">
                  <c:v>1.4691820083866292</c:v>
                </c:pt>
                <c:pt idx="22">
                  <c:v>1.3680134656057359</c:v>
                </c:pt>
                <c:pt idx="23">
                  <c:v>1.3943391715113185</c:v>
                </c:pt>
                <c:pt idx="24">
                  <c:v>1.7974333997499679</c:v>
                </c:pt>
                <c:pt idx="25">
                  <c:v>1.5982515087959595</c:v>
                </c:pt>
                <c:pt idx="26">
                  <c:v>1.4312723505744962</c:v>
                </c:pt>
                <c:pt idx="27">
                  <c:v>1.375742532562098</c:v>
                </c:pt>
                <c:pt idx="28">
                  <c:v>1.9850533384160216</c:v>
                </c:pt>
                <c:pt idx="29">
                  <c:v>1.557290460947333</c:v>
                </c:pt>
                <c:pt idx="30">
                  <c:v>1.3763898194179769</c:v>
                </c:pt>
                <c:pt idx="31">
                  <c:v>1.5965158386711416</c:v>
                </c:pt>
                <c:pt idx="32">
                  <c:v>1.8333155449205736</c:v>
                </c:pt>
                <c:pt idx="33">
                  <c:v>2.0296045390029835</c:v>
                </c:pt>
                <c:pt idx="34">
                  <c:v>1.4264733073460838</c:v>
                </c:pt>
                <c:pt idx="35">
                  <c:v>1.3669830236287375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A3-48B7-B158-A39E109398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5116984"/>
        <c:axId val="495116656"/>
      </c:lineChart>
      <c:catAx>
        <c:axId val="453695832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2833032"/>
        <c:crosses val="autoZero"/>
        <c:auto val="1"/>
        <c:lblAlgn val="ctr"/>
        <c:lblOffset val="100"/>
        <c:noMultiLvlLbl val="0"/>
      </c:catAx>
      <c:valAx>
        <c:axId val="452833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bg-BG"/>
                  <a:t>Съотношение</a:t>
                </a:r>
                <a:r>
                  <a:rPr lang="bg-BG" baseline="0"/>
                  <a:t> мляко/фураж</a:t>
                </a:r>
                <a:endParaRPr lang="bg-BG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3695832"/>
        <c:crosses val="autoZero"/>
        <c:crossBetween val="between"/>
      </c:valAx>
      <c:valAx>
        <c:axId val="495116656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495116984"/>
        <c:crosses val="max"/>
        <c:crossBetween val="between"/>
      </c:valAx>
      <c:catAx>
        <c:axId val="4951169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51166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[st.zagora_dashboard4.xlsx]Profit_income!Обобщена таблица7</c:name>
    <c:fmtId val="0"/>
  </c:pivotSource>
  <c:chart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Profit_income!$C$3</c:f>
              <c:strCache>
                <c:ptCount val="1"/>
                <c:pt idx="0">
                  <c:v>Ниска Печалба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Profit_income!$A$4:$A$19</c:f>
              <c:multiLvlStrCache>
                <c:ptCount val="12"/>
                <c:lvl>
                  <c:pt idx="0">
                    <c:v>Трим.1</c:v>
                  </c:pt>
                  <c:pt idx="1">
                    <c:v>Трим.2</c:v>
                  </c:pt>
                  <c:pt idx="2">
                    <c:v>Трим.3</c:v>
                  </c:pt>
                  <c:pt idx="3">
                    <c:v>Трим.4</c:v>
                  </c:pt>
                  <c:pt idx="4">
                    <c:v>Трим.1</c:v>
                  </c:pt>
                  <c:pt idx="5">
                    <c:v>Трим.2</c:v>
                  </c:pt>
                  <c:pt idx="6">
                    <c:v>Трим.3</c:v>
                  </c:pt>
                  <c:pt idx="7">
                    <c:v>Трим.4</c:v>
                  </c:pt>
                  <c:pt idx="8">
                    <c:v>Трим.1</c:v>
                  </c:pt>
                  <c:pt idx="9">
                    <c:v>Трим.2</c:v>
                  </c:pt>
                  <c:pt idx="10">
                    <c:v>Трим.3</c:v>
                  </c:pt>
                  <c:pt idx="11">
                    <c:v>Трим.4</c:v>
                  </c:pt>
                </c:lvl>
                <c:lvl>
                  <c:pt idx="0">
                    <c:v>2019</c:v>
                  </c:pt>
                  <c:pt idx="4">
                    <c:v>2020</c:v>
                  </c:pt>
                  <c:pt idx="8">
                    <c:v>2021</c:v>
                  </c:pt>
                </c:lvl>
              </c:multiLvlStrCache>
            </c:multiLvlStrRef>
          </c:cat>
          <c:val>
            <c:numRef>
              <c:f>Profit_income!$C$4:$C$19</c:f>
              <c:numCache>
                <c:formatCode>0%</c:formatCode>
                <c:ptCount val="12"/>
                <c:pt idx="0">
                  <c:v>0.06</c:v>
                </c:pt>
                <c:pt idx="1">
                  <c:v>0.06</c:v>
                </c:pt>
                <c:pt idx="2">
                  <c:v>0.06</c:v>
                </c:pt>
                <c:pt idx="3">
                  <c:v>0.06</c:v>
                </c:pt>
                <c:pt idx="4">
                  <c:v>0.06</c:v>
                </c:pt>
                <c:pt idx="5">
                  <c:v>0.06</c:v>
                </c:pt>
                <c:pt idx="6">
                  <c:v>0.06</c:v>
                </c:pt>
                <c:pt idx="7">
                  <c:v>0.06</c:v>
                </c:pt>
                <c:pt idx="8">
                  <c:v>0.06</c:v>
                </c:pt>
                <c:pt idx="9">
                  <c:v>0.06</c:v>
                </c:pt>
                <c:pt idx="10">
                  <c:v>0.06</c:v>
                </c:pt>
                <c:pt idx="11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B9-4FCD-8D11-BA0E6A04206D}"/>
            </c:ext>
          </c:extLst>
        </c:ser>
        <c:ser>
          <c:idx val="2"/>
          <c:order val="2"/>
          <c:tx>
            <c:strRef>
              <c:f>Profit_income!$D$3</c:f>
              <c:strCache>
                <c:ptCount val="1"/>
                <c:pt idx="0">
                  <c:v>Средна Печалба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Profit_income!$A$4:$A$19</c:f>
              <c:multiLvlStrCache>
                <c:ptCount val="12"/>
                <c:lvl>
                  <c:pt idx="0">
                    <c:v>Трим.1</c:v>
                  </c:pt>
                  <c:pt idx="1">
                    <c:v>Трим.2</c:v>
                  </c:pt>
                  <c:pt idx="2">
                    <c:v>Трим.3</c:v>
                  </c:pt>
                  <c:pt idx="3">
                    <c:v>Трим.4</c:v>
                  </c:pt>
                  <c:pt idx="4">
                    <c:v>Трим.1</c:v>
                  </c:pt>
                  <c:pt idx="5">
                    <c:v>Трим.2</c:v>
                  </c:pt>
                  <c:pt idx="6">
                    <c:v>Трим.3</c:v>
                  </c:pt>
                  <c:pt idx="7">
                    <c:v>Трим.4</c:v>
                  </c:pt>
                  <c:pt idx="8">
                    <c:v>Трим.1</c:v>
                  </c:pt>
                  <c:pt idx="9">
                    <c:v>Трим.2</c:v>
                  </c:pt>
                  <c:pt idx="10">
                    <c:v>Трим.3</c:v>
                  </c:pt>
                  <c:pt idx="11">
                    <c:v>Трим.4</c:v>
                  </c:pt>
                </c:lvl>
                <c:lvl>
                  <c:pt idx="0">
                    <c:v>2019</c:v>
                  </c:pt>
                  <c:pt idx="4">
                    <c:v>2020</c:v>
                  </c:pt>
                  <c:pt idx="8">
                    <c:v>2021</c:v>
                  </c:pt>
                </c:lvl>
              </c:multiLvlStrCache>
            </c:multiLvlStrRef>
          </c:cat>
          <c:val>
            <c:numRef>
              <c:f>Profit_income!$D$4:$D$19</c:f>
              <c:numCache>
                <c:formatCode>0%</c:formatCode>
                <c:ptCount val="12"/>
                <c:pt idx="0">
                  <c:v>0.81</c:v>
                </c:pt>
                <c:pt idx="1">
                  <c:v>0.81</c:v>
                </c:pt>
                <c:pt idx="2">
                  <c:v>0.81</c:v>
                </c:pt>
                <c:pt idx="3">
                  <c:v>0.81</c:v>
                </c:pt>
                <c:pt idx="4">
                  <c:v>0.81</c:v>
                </c:pt>
                <c:pt idx="5">
                  <c:v>0.81</c:v>
                </c:pt>
                <c:pt idx="6">
                  <c:v>0.81</c:v>
                </c:pt>
                <c:pt idx="7">
                  <c:v>0.81</c:v>
                </c:pt>
                <c:pt idx="8">
                  <c:v>0.81</c:v>
                </c:pt>
                <c:pt idx="9">
                  <c:v>0.81</c:v>
                </c:pt>
                <c:pt idx="10">
                  <c:v>0.81</c:v>
                </c:pt>
                <c:pt idx="11">
                  <c:v>0.81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EB9-4FCD-8D11-BA0E6A04206D}"/>
            </c:ext>
          </c:extLst>
        </c:ser>
        <c:ser>
          <c:idx val="3"/>
          <c:order val="3"/>
          <c:tx>
            <c:strRef>
              <c:f>Profit_income!$E$3</c:f>
              <c:strCache>
                <c:ptCount val="1"/>
                <c:pt idx="0">
                  <c:v>Висока Печалба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Profit_income!$A$4:$A$19</c:f>
              <c:multiLvlStrCache>
                <c:ptCount val="12"/>
                <c:lvl>
                  <c:pt idx="0">
                    <c:v>Трим.1</c:v>
                  </c:pt>
                  <c:pt idx="1">
                    <c:v>Трим.2</c:v>
                  </c:pt>
                  <c:pt idx="2">
                    <c:v>Трим.3</c:v>
                  </c:pt>
                  <c:pt idx="3">
                    <c:v>Трим.4</c:v>
                  </c:pt>
                  <c:pt idx="4">
                    <c:v>Трим.1</c:v>
                  </c:pt>
                  <c:pt idx="5">
                    <c:v>Трим.2</c:v>
                  </c:pt>
                  <c:pt idx="6">
                    <c:v>Трим.3</c:v>
                  </c:pt>
                  <c:pt idx="7">
                    <c:v>Трим.4</c:v>
                  </c:pt>
                  <c:pt idx="8">
                    <c:v>Трим.1</c:v>
                  </c:pt>
                  <c:pt idx="9">
                    <c:v>Трим.2</c:v>
                  </c:pt>
                  <c:pt idx="10">
                    <c:v>Трим.3</c:v>
                  </c:pt>
                  <c:pt idx="11">
                    <c:v>Трим.4</c:v>
                  </c:pt>
                </c:lvl>
                <c:lvl>
                  <c:pt idx="0">
                    <c:v>2019</c:v>
                  </c:pt>
                  <c:pt idx="4">
                    <c:v>2020</c:v>
                  </c:pt>
                  <c:pt idx="8">
                    <c:v>2021</c:v>
                  </c:pt>
                </c:lvl>
              </c:multiLvlStrCache>
            </c:multiLvlStrRef>
          </c:cat>
          <c:val>
            <c:numRef>
              <c:f>Profit_income!$E$4:$E$19</c:f>
              <c:numCache>
                <c:formatCode>0%</c:formatCode>
                <c:ptCount val="12"/>
                <c:pt idx="0">
                  <c:v>0.86999999999999988</c:v>
                </c:pt>
                <c:pt idx="1">
                  <c:v>0.86999999999999988</c:v>
                </c:pt>
                <c:pt idx="2">
                  <c:v>0.86999999999999988</c:v>
                </c:pt>
                <c:pt idx="3">
                  <c:v>0.86999999999999988</c:v>
                </c:pt>
                <c:pt idx="4">
                  <c:v>0.86999999999999988</c:v>
                </c:pt>
                <c:pt idx="5">
                  <c:v>0.86999999999999988</c:v>
                </c:pt>
                <c:pt idx="6">
                  <c:v>0.86999999999999988</c:v>
                </c:pt>
                <c:pt idx="7">
                  <c:v>0.86999999999999988</c:v>
                </c:pt>
                <c:pt idx="8">
                  <c:v>0.86999999999999988</c:v>
                </c:pt>
                <c:pt idx="9">
                  <c:v>0.86999999999999988</c:v>
                </c:pt>
                <c:pt idx="10">
                  <c:v>0.86999999999999988</c:v>
                </c:pt>
                <c:pt idx="11">
                  <c:v>0.86999999999999988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EB9-4FCD-8D11-BA0E6A04206D}"/>
            </c:ext>
          </c:extLst>
        </c:ser>
        <c:ser>
          <c:idx val="4"/>
          <c:order val="4"/>
          <c:tx>
            <c:strRef>
              <c:f>Profit_income!$F$3</c:f>
              <c:strCache>
                <c:ptCount val="1"/>
                <c:pt idx="0">
                  <c:v>Сума от Загуби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Profit_income!$A$4:$A$19</c:f>
              <c:multiLvlStrCache>
                <c:ptCount val="12"/>
                <c:lvl>
                  <c:pt idx="0">
                    <c:v>Трим.1</c:v>
                  </c:pt>
                  <c:pt idx="1">
                    <c:v>Трим.2</c:v>
                  </c:pt>
                  <c:pt idx="2">
                    <c:v>Трим.3</c:v>
                  </c:pt>
                  <c:pt idx="3">
                    <c:v>Трим.4</c:v>
                  </c:pt>
                  <c:pt idx="4">
                    <c:v>Трим.1</c:v>
                  </c:pt>
                  <c:pt idx="5">
                    <c:v>Трим.2</c:v>
                  </c:pt>
                  <c:pt idx="6">
                    <c:v>Трим.3</c:v>
                  </c:pt>
                  <c:pt idx="7">
                    <c:v>Трим.4</c:v>
                  </c:pt>
                  <c:pt idx="8">
                    <c:v>Трим.1</c:v>
                  </c:pt>
                  <c:pt idx="9">
                    <c:v>Трим.2</c:v>
                  </c:pt>
                  <c:pt idx="10">
                    <c:v>Трим.3</c:v>
                  </c:pt>
                  <c:pt idx="11">
                    <c:v>Трим.4</c:v>
                  </c:pt>
                </c:lvl>
                <c:lvl>
                  <c:pt idx="0">
                    <c:v>2019</c:v>
                  </c:pt>
                  <c:pt idx="4">
                    <c:v>2020</c:v>
                  </c:pt>
                  <c:pt idx="8">
                    <c:v>2021</c:v>
                  </c:pt>
                </c:lvl>
              </c:multiLvlStrCache>
            </c:multiLvlStrRef>
          </c:cat>
          <c:val>
            <c:numRef>
              <c:f>Profit_income!$F$4:$F$19</c:f>
              <c:numCache>
                <c:formatCode>0%</c:formatCode>
                <c:ptCount val="12"/>
                <c:pt idx="0">
                  <c:v>-1.35</c:v>
                </c:pt>
                <c:pt idx="1">
                  <c:v>-1.35</c:v>
                </c:pt>
                <c:pt idx="2">
                  <c:v>-1.35</c:v>
                </c:pt>
                <c:pt idx="3">
                  <c:v>-1.35</c:v>
                </c:pt>
                <c:pt idx="4">
                  <c:v>-1.35</c:v>
                </c:pt>
                <c:pt idx="5">
                  <c:v>-1.35</c:v>
                </c:pt>
                <c:pt idx="6">
                  <c:v>-1.35</c:v>
                </c:pt>
                <c:pt idx="7">
                  <c:v>-1.35</c:v>
                </c:pt>
                <c:pt idx="8">
                  <c:v>-1.35</c:v>
                </c:pt>
                <c:pt idx="9">
                  <c:v>-1.35</c:v>
                </c:pt>
                <c:pt idx="10">
                  <c:v>-1.35</c:v>
                </c:pt>
                <c:pt idx="11">
                  <c:v>-1.35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EB9-4FCD-8D11-BA0E6A0420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75356352"/>
        <c:axId val="375351760"/>
      </c:barChart>
      <c:lineChart>
        <c:grouping val="standard"/>
        <c:varyColors val="0"/>
        <c:ser>
          <c:idx val="0"/>
          <c:order val="0"/>
          <c:tx>
            <c:strRef>
              <c:f>Profit_income!$B$3</c:f>
              <c:strCache>
                <c:ptCount val="1"/>
                <c:pt idx="0">
                  <c:v>Съот. печалба/приход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Profit_income!$A$4:$A$19</c:f>
              <c:multiLvlStrCache>
                <c:ptCount val="12"/>
                <c:lvl>
                  <c:pt idx="0">
                    <c:v>Трим.1</c:v>
                  </c:pt>
                  <c:pt idx="1">
                    <c:v>Трим.2</c:v>
                  </c:pt>
                  <c:pt idx="2">
                    <c:v>Трим.3</c:v>
                  </c:pt>
                  <c:pt idx="3">
                    <c:v>Трим.4</c:v>
                  </c:pt>
                  <c:pt idx="4">
                    <c:v>Трим.1</c:v>
                  </c:pt>
                  <c:pt idx="5">
                    <c:v>Трим.2</c:v>
                  </c:pt>
                  <c:pt idx="6">
                    <c:v>Трим.3</c:v>
                  </c:pt>
                  <c:pt idx="7">
                    <c:v>Трим.4</c:v>
                  </c:pt>
                  <c:pt idx="8">
                    <c:v>Трим.1</c:v>
                  </c:pt>
                  <c:pt idx="9">
                    <c:v>Трим.2</c:v>
                  </c:pt>
                  <c:pt idx="10">
                    <c:v>Трим.3</c:v>
                  </c:pt>
                  <c:pt idx="11">
                    <c:v>Трим.4</c:v>
                  </c:pt>
                </c:lvl>
                <c:lvl>
                  <c:pt idx="0">
                    <c:v>2019</c:v>
                  </c:pt>
                  <c:pt idx="4">
                    <c:v>2020</c:v>
                  </c:pt>
                  <c:pt idx="8">
                    <c:v>2021</c:v>
                  </c:pt>
                </c:lvl>
              </c:multiLvlStrCache>
            </c:multiLvlStrRef>
          </c:cat>
          <c:val>
            <c:numRef>
              <c:f>Profit_income!$B$4:$B$19</c:f>
              <c:numCache>
                <c:formatCode>0%</c:formatCode>
                <c:ptCount val="12"/>
                <c:pt idx="0">
                  <c:v>-0.70877831008352732</c:v>
                </c:pt>
                <c:pt idx="1">
                  <c:v>0.87569773494170455</c:v>
                </c:pt>
                <c:pt idx="2">
                  <c:v>0.3690512590753075</c:v>
                </c:pt>
                <c:pt idx="3">
                  <c:v>0.63087076719615598</c:v>
                </c:pt>
                <c:pt idx="4">
                  <c:v>0.55736274457036594</c:v>
                </c:pt>
                <c:pt idx="5">
                  <c:v>0.63077854154671464</c:v>
                </c:pt>
                <c:pt idx="6">
                  <c:v>0.21073948674995807</c:v>
                </c:pt>
                <c:pt idx="7">
                  <c:v>0.65174735342709245</c:v>
                </c:pt>
                <c:pt idx="8">
                  <c:v>0.42755426600012614</c:v>
                </c:pt>
                <c:pt idx="9">
                  <c:v>0.78257466585197077</c:v>
                </c:pt>
                <c:pt idx="10">
                  <c:v>7.5883024746346228E-2</c:v>
                </c:pt>
                <c:pt idx="11">
                  <c:v>0.92382162927539924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B9-4FCD-8D11-BA0E6A0420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5356352"/>
        <c:axId val="375351760"/>
      </c:lineChart>
      <c:catAx>
        <c:axId val="375356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5351760"/>
        <c:crosses val="autoZero"/>
        <c:auto val="1"/>
        <c:lblAlgn val="ctr"/>
        <c:lblOffset val="100"/>
        <c:noMultiLvlLbl val="0"/>
      </c:catAx>
      <c:valAx>
        <c:axId val="375351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5356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[st.zagora_dashboard4.xlsx]Profit_liter!Обобщена таблица1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bg-BG"/>
              <a:t>Печалба</a:t>
            </a:r>
            <a:r>
              <a:rPr lang="bg-BG" baseline="0"/>
              <a:t> литър</a:t>
            </a:r>
            <a:endParaRPr lang="bg-BG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bg1">
              <a:lumMod val="85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Profit_liter!$C$3</c:f>
              <c:strCache>
                <c:ptCount val="1"/>
                <c:pt idx="0">
                  <c:v>Средно от Ниски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Profit_liter!$A$4:$A$19</c:f>
              <c:multiLvlStrCache>
                <c:ptCount val="12"/>
                <c:lvl>
                  <c:pt idx="0">
                    <c:v>Трим.1</c:v>
                  </c:pt>
                  <c:pt idx="1">
                    <c:v>Трим.2</c:v>
                  </c:pt>
                  <c:pt idx="2">
                    <c:v>Трим.3</c:v>
                  </c:pt>
                  <c:pt idx="3">
                    <c:v>Трим.4</c:v>
                  </c:pt>
                  <c:pt idx="4">
                    <c:v>Трим.1</c:v>
                  </c:pt>
                  <c:pt idx="5">
                    <c:v>Трим.2</c:v>
                  </c:pt>
                  <c:pt idx="6">
                    <c:v>Трим.3</c:v>
                  </c:pt>
                  <c:pt idx="7">
                    <c:v>Трим.4</c:v>
                  </c:pt>
                  <c:pt idx="8">
                    <c:v>Трим.1</c:v>
                  </c:pt>
                  <c:pt idx="9">
                    <c:v>Трим.2</c:v>
                  </c:pt>
                  <c:pt idx="10">
                    <c:v>Трим.3</c:v>
                  </c:pt>
                  <c:pt idx="11">
                    <c:v>Трим.4</c:v>
                  </c:pt>
                </c:lvl>
                <c:lvl>
                  <c:pt idx="0">
                    <c:v>2019</c:v>
                  </c:pt>
                  <c:pt idx="4">
                    <c:v>2020</c:v>
                  </c:pt>
                  <c:pt idx="8">
                    <c:v>2021</c:v>
                  </c:pt>
                </c:lvl>
              </c:multiLvlStrCache>
            </c:multiLvlStrRef>
          </c:cat>
          <c:val>
            <c:numRef>
              <c:f>Profit_liter!$C$4:$C$19</c:f>
              <c:numCache>
                <c:formatCode>0.00</c:formatCode>
                <c:ptCount val="12"/>
                <c:pt idx="0">
                  <c:v>-0.30834018358059906</c:v>
                </c:pt>
                <c:pt idx="1">
                  <c:v>-0.30834018358059906</c:v>
                </c:pt>
                <c:pt idx="2">
                  <c:v>-0.30834018358059906</c:v>
                </c:pt>
                <c:pt idx="3">
                  <c:v>-0.30834018358059906</c:v>
                </c:pt>
                <c:pt idx="4">
                  <c:v>-0.30834018358059906</c:v>
                </c:pt>
                <c:pt idx="5">
                  <c:v>-0.30834018358059906</c:v>
                </c:pt>
                <c:pt idx="6">
                  <c:v>-0.30834018358059906</c:v>
                </c:pt>
                <c:pt idx="7">
                  <c:v>-0.30834018358059906</c:v>
                </c:pt>
                <c:pt idx="8">
                  <c:v>-0.30834018358059906</c:v>
                </c:pt>
                <c:pt idx="9">
                  <c:v>-0.30834018358059906</c:v>
                </c:pt>
                <c:pt idx="10">
                  <c:v>-0.30834018358059906</c:v>
                </c:pt>
                <c:pt idx="11">
                  <c:v>-0.30834018358059906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D8-4178-98A7-E8970135637A}"/>
            </c:ext>
          </c:extLst>
        </c:ser>
        <c:ser>
          <c:idx val="2"/>
          <c:order val="2"/>
          <c:tx>
            <c:strRef>
              <c:f>Profit_liter!$D$3</c:f>
              <c:strCache>
                <c:ptCount val="1"/>
                <c:pt idx="0">
                  <c:v>Средно от Загуби_литър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Profit_liter!$A$4:$A$19</c:f>
              <c:multiLvlStrCache>
                <c:ptCount val="12"/>
                <c:lvl>
                  <c:pt idx="0">
                    <c:v>Трим.1</c:v>
                  </c:pt>
                  <c:pt idx="1">
                    <c:v>Трим.2</c:v>
                  </c:pt>
                  <c:pt idx="2">
                    <c:v>Трим.3</c:v>
                  </c:pt>
                  <c:pt idx="3">
                    <c:v>Трим.4</c:v>
                  </c:pt>
                  <c:pt idx="4">
                    <c:v>Трим.1</c:v>
                  </c:pt>
                  <c:pt idx="5">
                    <c:v>Трим.2</c:v>
                  </c:pt>
                  <c:pt idx="6">
                    <c:v>Трим.3</c:v>
                  </c:pt>
                  <c:pt idx="7">
                    <c:v>Трим.4</c:v>
                  </c:pt>
                  <c:pt idx="8">
                    <c:v>Трим.1</c:v>
                  </c:pt>
                  <c:pt idx="9">
                    <c:v>Трим.2</c:v>
                  </c:pt>
                  <c:pt idx="10">
                    <c:v>Трим.3</c:v>
                  </c:pt>
                  <c:pt idx="11">
                    <c:v>Трим.4</c:v>
                  </c:pt>
                </c:lvl>
                <c:lvl>
                  <c:pt idx="0">
                    <c:v>2019</c:v>
                  </c:pt>
                  <c:pt idx="4">
                    <c:v>2020</c:v>
                  </c:pt>
                  <c:pt idx="8">
                    <c:v>2021</c:v>
                  </c:pt>
                </c:lvl>
              </c:multiLvlStrCache>
            </c:multiLvlStrRef>
          </c:cat>
          <c:val>
            <c:numRef>
              <c:f>Profit_liter!$D$4:$D$19</c:f>
              <c:numCache>
                <c:formatCode>0.00</c:formatCode>
                <c:ptCount val="12"/>
                <c:pt idx="0">
                  <c:v>-0.32456334832623485</c:v>
                </c:pt>
                <c:pt idx="1">
                  <c:v>-0.32456334832623485</c:v>
                </c:pt>
                <c:pt idx="2">
                  <c:v>-0.32456334832623485</c:v>
                </c:pt>
                <c:pt idx="3">
                  <c:v>-0.32456334832623485</c:v>
                </c:pt>
                <c:pt idx="4">
                  <c:v>-0.32456334832623485</c:v>
                </c:pt>
                <c:pt idx="5">
                  <c:v>-0.32456334832623485</c:v>
                </c:pt>
                <c:pt idx="6">
                  <c:v>-0.32456334832623485</c:v>
                </c:pt>
                <c:pt idx="7">
                  <c:v>-0.32456334832623485</c:v>
                </c:pt>
                <c:pt idx="8">
                  <c:v>-0.32456334832623485</c:v>
                </c:pt>
                <c:pt idx="9">
                  <c:v>-0.32456334832623485</c:v>
                </c:pt>
                <c:pt idx="10">
                  <c:v>-0.32456334832623485</c:v>
                </c:pt>
                <c:pt idx="11">
                  <c:v>-0.32456334832623485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D8-4178-98A7-E8970135637A}"/>
            </c:ext>
          </c:extLst>
        </c:ser>
        <c:ser>
          <c:idx val="3"/>
          <c:order val="3"/>
          <c:tx>
            <c:strRef>
              <c:f>Profit_liter!$E$3</c:f>
              <c:strCache>
                <c:ptCount val="1"/>
                <c:pt idx="0">
                  <c:v>Средно от Средни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Profit_liter!$A$4:$A$19</c:f>
              <c:multiLvlStrCache>
                <c:ptCount val="12"/>
                <c:lvl>
                  <c:pt idx="0">
                    <c:v>Трим.1</c:v>
                  </c:pt>
                  <c:pt idx="1">
                    <c:v>Трим.2</c:v>
                  </c:pt>
                  <c:pt idx="2">
                    <c:v>Трим.3</c:v>
                  </c:pt>
                  <c:pt idx="3">
                    <c:v>Трим.4</c:v>
                  </c:pt>
                  <c:pt idx="4">
                    <c:v>Трим.1</c:v>
                  </c:pt>
                  <c:pt idx="5">
                    <c:v>Трим.2</c:v>
                  </c:pt>
                  <c:pt idx="6">
                    <c:v>Трим.3</c:v>
                  </c:pt>
                  <c:pt idx="7">
                    <c:v>Трим.4</c:v>
                  </c:pt>
                  <c:pt idx="8">
                    <c:v>Трим.1</c:v>
                  </c:pt>
                  <c:pt idx="9">
                    <c:v>Трим.2</c:v>
                  </c:pt>
                  <c:pt idx="10">
                    <c:v>Трим.3</c:v>
                  </c:pt>
                  <c:pt idx="11">
                    <c:v>Трим.4</c:v>
                  </c:pt>
                </c:lvl>
                <c:lvl>
                  <c:pt idx="0">
                    <c:v>2019</c:v>
                  </c:pt>
                  <c:pt idx="4">
                    <c:v>2020</c:v>
                  </c:pt>
                  <c:pt idx="8">
                    <c:v>2021</c:v>
                  </c:pt>
                </c:lvl>
              </c:multiLvlStrCache>
            </c:multiLvlStrRef>
          </c:cat>
          <c:val>
            <c:numRef>
              <c:f>Profit_liter!$E$4:$E$19</c:f>
              <c:numCache>
                <c:formatCode>0.00</c:formatCode>
                <c:ptCount val="12"/>
                <c:pt idx="0">
                  <c:v>0.27865063499971043</c:v>
                </c:pt>
                <c:pt idx="1">
                  <c:v>0.27865063499971043</c:v>
                </c:pt>
                <c:pt idx="2">
                  <c:v>0.27865063499971043</c:v>
                </c:pt>
                <c:pt idx="3">
                  <c:v>0.27865063499971043</c:v>
                </c:pt>
                <c:pt idx="4">
                  <c:v>0.27865063499971043</c:v>
                </c:pt>
                <c:pt idx="5">
                  <c:v>0.27865063499971043</c:v>
                </c:pt>
                <c:pt idx="6">
                  <c:v>0.27865063499971043</c:v>
                </c:pt>
                <c:pt idx="7">
                  <c:v>0.27865063499971043</c:v>
                </c:pt>
                <c:pt idx="8">
                  <c:v>0.27865063499971043</c:v>
                </c:pt>
                <c:pt idx="9">
                  <c:v>0.27865063499971043</c:v>
                </c:pt>
                <c:pt idx="10">
                  <c:v>0.27865063499971043</c:v>
                </c:pt>
                <c:pt idx="11">
                  <c:v>0.27865063499971043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4D8-4178-98A7-E8970135637A}"/>
            </c:ext>
          </c:extLst>
        </c:ser>
        <c:ser>
          <c:idx val="4"/>
          <c:order val="4"/>
          <c:tx>
            <c:strRef>
              <c:f>Profit_liter!$F$3</c:f>
              <c:strCache>
                <c:ptCount val="1"/>
                <c:pt idx="0">
                  <c:v>Средно от Високи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Profit_liter!$A$4:$A$19</c:f>
              <c:multiLvlStrCache>
                <c:ptCount val="12"/>
                <c:lvl>
                  <c:pt idx="0">
                    <c:v>Трим.1</c:v>
                  </c:pt>
                  <c:pt idx="1">
                    <c:v>Трим.2</c:v>
                  </c:pt>
                  <c:pt idx="2">
                    <c:v>Трим.3</c:v>
                  </c:pt>
                  <c:pt idx="3">
                    <c:v>Трим.4</c:v>
                  </c:pt>
                  <c:pt idx="4">
                    <c:v>Трим.1</c:v>
                  </c:pt>
                  <c:pt idx="5">
                    <c:v>Трим.2</c:v>
                  </c:pt>
                  <c:pt idx="6">
                    <c:v>Трим.3</c:v>
                  </c:pt>
                  <c:pt idx="7">
                    <c:v>Трим.4</c:v>
                  </c:pt>
                  <c:pt idx="8">
                    <c:v>Трим.1</c:v>
                  </c:pt>
                  <c:pt idx="9">
                    <c:v>Трим.2</c:v>
                  </c:pt>
                  <c:pt idx="10">
                    <c:v>Трим.3</c:v>
                  </c:pt>
                  <c:pt idx="11">
                    <c:v>Трим.4</c:v>
                  </c:pt>
                </c:lvl>
                <c:lvl>
                  <c:pt idx="0">
                    <c:v>2019</c:v>
                  </c:pt>
                  <c:pt idx="4">
                    <c:v>2020</c:v>
                  </c:pt>
                  <c:pt idx="8">
                    <c:v>2021</c:v>
                  </c:pt>
                </c:lvl>
              </c:multiLvlStrCache>
            </c:multiLvlStrRef>
          </c:cat>
          <c:val>
            <c:numRef>
              <c:f>Profit_liter!$F$4:$F$19</c:f>
              <c:numCache>
                <c:formatCode>0.00</c:formatCode>
                <c:ptCount val="12"/>
                <c:pt idx="0">
                  <c:v>0.91611905718249187</c:v>
                </c:pt>
                <c:pt idx="1">
                  <c:v>0.91611905718249187</c:v>
                </c:pt>
                <c:pt idx="2">
                  <c:v>0.91611905718249187</c:v>
                </c:pt>
                <c:pt idx="3">
                  <c:v>0.91611905718249187</c:v>
                </c:pt>
                <c:pt idx="4">
                  <c:v>0.91611905718249187</c:v>
                </c:pt>
                <c:pt idx="5">
                  <c:v>0.91611905718249187</c:v>
                </c:pt>
                <c:pt idx="6">
                  <c:v>0.91611905718249187</c:v>
                </c:pt>
                <c:pt idx="7">
                  <c:v>0.91611905718249187</c:v>
                </c:pt>
                <c:pt idx="8">
                  <c:v>0.91611905718249187</c:v>
                </c:pt>
                <c:pt idx="9">
                  <c:v>0.91611905718249187</c:v>
                </c:pt>
                <c:pt idx="10">
                  <c:v>0.91611905718249187</c:v>
                </c:pt>
                <c:pt idx="11">
                  <c:v>0.91611905718249187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4D8-4178-98A7-E897013563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530580752"/>
        <c:axId val="530567632"/>
      </c:barChart>
      <c:lineChart>
        <c:grouping val="standard"/>
        <c:varyColors val="0"/>
        <c:ser>
          <c:idx val="0"/>
          <c:order val="0"/>
          <c:tx>
            <c:strRef>
              <c:f>Profit_liter!$B$3</c:f>
              <c:strCache>
                <c:ptCount val="1"/>
                <c:pt idx="0">
                  <c:v>Средно от Печалба/литър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Profit_liter!$A$4:$A$19</c:f>
              <c:multiLvlStrCache>
                <c:ptCount val="12"/>
                <c:lvl>
                  <c:pt idx="0">
                    <c:v>Трим.1</c:v>
                  </c:pt>
                  <c:pt idx="1">
                    <c:v>Трим.2</c:v>
                  </c:pt>
                  <c:pt idx="2">
                    <c:v>Трим.3</c:v>
                  </c:pt>
                  <c:pt idx="3">
                    <c:v>Трим.4</c:v>
                  </c:pt>
                  <c:pt idx="4">
                    <c:v>Трим.1</c:v>
                  </c:pt>
                  <c:pt idx="5">
                    <c:v>Трим.2</c:v>
                  </c:pt>
                  <c:pt idx="6">
                    <c:v>Трим.3</c:v>
                  </c:pt>
                  <c:pt idx="7">
                    <c:v>Трим.4</c:v>
                  </c:pt>
                  <c:pt idx="8">
                    <c:v>Трим.1</c:v>
                  </c:pt>
                  <c:pt idx="9">
                    <c:v>Трим.2</c:v>
                  </c:pt>
                  <c:pt idx="10">
                    <c:v>Трим.3</c:v>
                  </c:pt>
                  <c:pt idx="11">
                    <c:v>Трим.4</c:v>
                  </c:pt>
                </c:lvl>
                <c:lvl>
                  <c:pt idx="0">
                    <c:v>2019</c:v>
                  </c:pt>
                  <c:pt idx="4">
                    <c:v>2020</c:v>
                  </c:pt>
                  <c:pt idx="8">
                    <c:v>2021</c:v>
                  </c:pt>
                </c:lvl>
              </c:multiLvlStrCache>
            </c:multiLvlStrRef>
          </c:cat>
          <c:val>
            <c:numRef>
              <c:f>Profit_liter!$B$4:$B$19</c:f>
              <c:numCache>
                <c:formatCode>0.00</c:formatCode>
                <c:ptCount val="12"/>
                <c:pt idx="0">
                  <c:v>-0.17039462675891126</c:v>
                </c:pt>
                <c:pt idx="1">
                  <c:v>0.29094265458809493</c:v>
                </c:pt>
                <c:pt idx="2">
                  <c:v>8.7533153154446972E-2</c:v>
                </c:pt>
                <c:pt idx="3">
                  <c:v>0.24788126034180111</c:v>
                </c:pt>
                <c:pt idx="4">
                  <c:v>0.20908059718819069</c:v>
                </c:pt>
                <c:pt idx="5">
                  <c:v>0.18527782996010822</c:v>
                </c:pt>
                <c:pt idx="6">
                  <c:v>5.5056862035950144E-2</c:v>
                </c:pt>
                <c:pt idx="7">
                  <c:v>0.41607823868844068</c:v>
                </c:pt>
                <c:pt idx="8">
                  <c:v>0.11111488336491053</c:v>
                </c:pt>
                <c:pt idx="9">
                  <c:v>0.22433690251161667</c:v>
                </c:pt>
                <c:pt idx="10">
                  <c:v>3.7868738408665559E-2</c:v>
                </c:pt>
                <c:pt idx="11">
                  <c:v>0.48903719428085896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D8-4178-98A7-E897013563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0580752"/>
        <c:axId val="530567632"/>
      </c:lineChart>
      <c:catAx>
        <c:axId val="5305807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bg-BG"/>
                  <a:t>време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0567632"/>
        <c:crosses val="autoZero"/>
        <c:auto val="1"/>
        <c:lblAlgn val="ctr"/>
        <c:lblOffset val="100"/>
        <c:noMultiLvlLbl val="0"/>
      </c:catAx>
      <c:valAx>
        <c:axId val="530567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bg-BG"/>
                  <a:t>лев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0580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[st.zagora_dashboard4.xlsx]avg_profit_liter!Обобщена таблица4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bg-BG"/>
              <a:t>Среден</a:t>
            </a:r>
            <a:r>
              <a:rPr lang="bg-BG" baseline="0"/>
              <a:t> годишен приход/ литър</a:t>
            </a:r>
            <a:endParaRPr lang="bg-BG"/>
          </a:p>
        </c:rich>
      </c:tx>
      <c:layout>
        <c:manualLayout>
          <c:xMode val="edge"/>
          <c:yMode val="edge"/>
          <c:x val="9.3791557305336837E-2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avg_profit_liter!$B$3</c:f>
              <c:strCache>
                <c:ptCount val="1"/>
                <c:pt idx="0">
                  <c:v>Средно от Загуби_литър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avg_profit_liter!$A$4:$A$19</c:f>
              <c:multiLvlStrCache>
                <c:ptCount val="12"/>
                <c:lvl>
                  <c:pt idx="0">
                    <c:v>Трим.1</c:v>
                  </c:pt>
                  <c:pt idx="1">
                    <c:v>Трим.2</c:v>
                  </c:pt>
                  <c:pt idx="2">
                    <c:v>Трим.3</c:v>
                  </c:pt>
                  <c:pt idx="3">
                    <c:v>Трим.4</c:v>
                  </c:pt>
                  <c:pt idx="4">
                    <c:v>Трим.1</c:v>
                  </c:pt>
                  <c:pt idx="5">
                    <c:v>Трим.2</c:v>
                  </c:pt>
                  <c:pt idx="6">
                    <c:v>Трим.3</c:v>
                  </c:pt>
                  <c:pt idx="7">
                    <c:v>Трим.4</c:v>
                  </c:pt>
                  <c:pt idx="8">
                    <c:v>Трим.1</c:v>
                  </c:pt>
                  <c:pt idx="9">
                    <c:v>Трим.2</c:v>
                  </c:pt>
                  <c:pt idx="10">
                    <c:v>Трим.3</c:v>
                  </c:pt>
                  <c:pt idx="11">
                    <c:v>Трим.4</c:v>
                  </c:pt>
                </c:lvl>
                <c:lvl>
                  <c:pt idx="0">
                    <c:v>2019</c:v>
                  </c:pt>
                  <c:pt idx="4">
                    <c:v>2020</c:v>
                  </c:pt>
                  <c:pt idx="8">
                    <c:v>2021</c:v>
                  </c:pt>
                </c:lvl>
              </c:multiLvlStrCache>
            </c:multiLvlStrRef>
          </c:cat>
          <c:val>
            <c:numRef>
              <c:f>avg_profit_liter!$B$4:$B$19</c:f>
              <c:numCache>
                <c:formatCode>0.000</c:formatCode>
                <c:ptCount val="12"/>
                <c:pt idx="0">
                  <c:v>-0.32456334832623485</c:v>
                </c:pt>
                <c:pt idx="1">
                  <c:v>-0.32456334832623485</c:v>
                </c:pt>
                <c:pt idx="2">
                  <c:v>-0.32456334832623485</c:v>
                </c:pt>
                <c:pt idx="3">
                  <c:v>-0.32456334832623485</c:v>
                </c:pt>
                <c:pt idx="4">
                  <c:v>-0.32456334832623485</c:v>
                </c:pt>
                <c:pt idx="5">
                  <c:v>-0.32456334832623485</c:v>
                </c:pt>
                <c:pt idx="6">
                  <c:v>-0.32456334832623485</c:v>
                </c:pt>
                <c:pt idx="7">
                  <c:v>-0.32456334832623485</c:v>
                </c:pt>
                <c:pt idx="8">
                  <c:v>-0.32456334832623485</c:v>
                </c:pt>
                <c:pt idx="9">
                  <c:v>-0.32456334832623485</c:v>
                </c:pt>
                <c:pt idx="10">
                  <c:v>-0.32456334832623485</c:v>
                </c:pt>
                <c:pt idx="11">
                  <c:v>-0.32456334832623485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6D-4CEE-B5E6-FAE586811F5D}"/>
            </c:ext>
          </c:extLst>
        </c:ser>
        <c:ser>
          <c:idx val="1"/>
          <c:order val="1"/>
          <c:tx>
            <c:strRef>
              <c:f>avg_profit_liter!$C$3</c:f>
              <c:strCache>
                <c:ptCount val="1"/>
                <c:pt idx="0">
                  <c:v>Средно от Ниски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avg_profit_liter!$A$4:$A$19</c:f>
              <c:multiLvlStrCache>
                <c:ptCount val="12"/>
                <c:lvl>
                  <c:pt idx="0">
                    <c:v>Трим.1</c:v>
                  </c:pt>
                  <c:pt idx="1">
                    <c:v>Трим.2</c:v>
                  </c:pt>
                  <c:pt idx="2">
                    <c:v>Трим.3</c:v>
                  </c:pt>
                  <c:pt idx="3">
                    <c:v>Трим.4</c:v>
                  </c:pt>
                  <c:pt idx="4">
                    <c:v>Трим.1</c:v>
                  </c:pt>
                  <c:pt idx="5">
                    <c:v>Трим.2</c:v>
                  </c:pt>
                  <c:pt idx="6">
                    <c:v>Трим.3</c:v>
                  </c:pt>
                  <c:pt idx="7">
                    <c:v>Трим.4</c:v>
                  </c:pt>
                  <c:pt idx="8">
                    <c:v>Трим.1</c:v>
                  </c:pt>
                  <c:pt idx="9">
                    <c:v>Трим.2</c:v>
                  </c:pt>
                  <c:pt idx="10">
                    <c:v>Трим.3</c:v>
                  </c:pt>
                  <c:pt idx="11">
                    <c:v>Трим.4</c:v>
                  </c:pt>
                </c:lvl>
                <c:lvl>
                  <c:pt idx="0">
                    <c:v>2019</c:v>
                  </c:pt>
                  <c:pt idx="4">
                    <c:v>2020</c:v>
                  </c:pt>
                  <c:pt idx="8">
                    <c:v>2021</c:v>
                  </c:pt>
                </c:lvl>
              </c:multiLvlStrCache>
            </c:multiLvlStrRef>
          </c:cat>
          <c:val>
            <c:numRef>
              <c:f>avg_profit_liter!$C$4:$C$19</c:f>
              <c:numCache>
                <c:formatCode>0.000</c:formatCode>
                <c:ptCount val="12"/>
                <c:pt idx="0">
                  <c:v>-0.30834018358059906</c:v>
                </c:pt>
                <c:pt idx="1">
                  <c:v>-0.30834018358059906</c:v>
                </c:pt>
                <c:pt idx="2">
                  <c:v>-0.30834018358059906</c:v>
                </c:pt>
                <c:pt idx="3">
                  <c:v>-0.30834018358059906</c:v>
                </c:pt>
                <c:pt idx="4">
                  <c:v>-0.30834018358059906</c:v>
                </c:pt>
                <c:pt idx="5">
                  <c:v>-0.30834018358059906</c:v>
                </c:pt>
                <c:pt idx="6">
                  <c:v>-0.30834018358059906</c:v>
                </c:pt>
                <c:pt idx="7">
                  <c:v>-0.30834018358059906</c:v>
                </c:pt>
                <c:pt idx="8">
                  <c:v>-0.30834018358059906</c:v>
                </c:pt>
                <c:pt idx="9">
                  <c:v>-0.30834018358059906</c:v>
                </c:pt>
                <c:pt idx="10">
                  <c:v>-0.30834018358059906</c:v>
                </c:pt>
                <c:pt idx="11">
                  <c:v>-0.30834018358059906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6D-4CEE-B5E6-FAE586811F5D}"/>
            </c:ext>
          </c:extLst>
        </c:ser>
        <c:ser>
          <c:idx val="3"/>
          <c:order val="3"/>
          <c:tx>
            <c:strRef>
              <c:f>avg_profit_liter!$E$3</c:f>
              <c:strCache>
                <c:ptCount val="1"/>
                <c:pt idx="0">
                  <c:v>Средно от Средни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avg_profit_liter!$A$4:$A$19</c:f>
              <c:multiLvlStrCache>
                <c:ptCount val="12"/>
                <c:lvl>
                  <c:pt idx="0">
                    <c:v>Трим.1</c:v>
                  </c:pt>
                  <c:pt idx="1">
                    <c:v>Трим.2</c:v>
                  </c:pt>
                  <c:pt idx="2">
                    <c:v>Трим.3</c:v>
                  </c:pt>
                  <c:pt idx="3">
                    <c:v>Трим.4</c:v>
                  </c:pt>
                  <c:pt idx="4">
                    <c:v>Трим.1</c:v>
                  </c:pt>
                  <c:pt idx="5">
                    <c:v>Трим.2</c:v>
                  </c:pt>
                  <c:pt idx="6">
                    <c:v>Трим.3</c:v>
                  </c:pt>
                  <c:pt idx="7">
                    <c:v>Трим.4</c:v>
                  </c:pt>
                  <c:pt idx="8">
                    <c:v>Трим.1</c:v>
                  </c:pt>
                  <c:pt idx="9">
                    <c:v>Трим.2</c:v>
                  </c:pt>
                  <c:pt idx="10">
                    <c:v>Трим.3</c:v>
                  </c:pt>
                  <c:pt idx="11">
                    <c:v>Трим.4</c:v>
                  </c:pt>
                </c:lvl>
                <c:lvl>
                  <c:pt idx="0">
                    <c:v>2019</c:v>
                  </c:pt>
                  <c:pt idx="4">
                    <c:v>2020</c:v>
                  </c:pt>
                  <c:pt idx="8">
                    <c:v>2021</c:v>
                  </c:pt>
                </c:lvl>
              </c:multiLvlStrCache>
            </c:multiLvlStrRef>
          </c:cat>
          <c:val>
            <c:numRef>
              <c:f>avg_profit_liter!$E$4:$E$19</c:f>
              <c:numCache>
                <c:formatCode>0.000</c:formatCode>
                <c:ptCount val="12"/>
                <c:pt idx="0">
                  <c:v>0.27865063499971043</c:v>
                </c:pt>
                <c:pt idx="1">
                  <c:v>0.27865063499971043</c:v>
                </c:pt>
                <c:pt idx="2">
                  <c:v>0.27865063499971043</c:v>
                </c:pt>
                <c:pt idx="3">
                  <c:v>0.27865063499971043</c:v>
                </c:pt>
                <c:pt idx="4">
                  <c:v>0.27865063499971043</c:v>
                </c:pt>
                <c:pt idx="5">
                  <c:v>0.27865063499971043</c:v>
                </c:pt>
                <c:pt idx="6">
                  <c:v>0.27865063499971043</c:v>
                </c:pt>
                <c:pt idx="7">
                  <c:v>0.27865063499971043</c:v>
                </c:pt>
                <c:pt idx="8">
                  <c:v>0.27865063499971043</c:v>
                </c:pt>
                <c:pt idx="9">
                  <c:v>0.27865063499971043</c:v>
                </c:pt>
                <c:pt idx="10">
                  <c:v>0.27865063499971043</c:v>
                </c:pt>
                <c:pt idx="11">
                  <c:v>0.27865063499971043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06D-4CEE-B5E6-FAE586811F5D}"/>
            </c:ext>
          </c:extLst>
        </c:ser>
        <c:ser>
          <c:idx val="4"/>
          <c:order val="4"/>
          <c:tx>
            <c:strRef>
              <c:f>avg_profit_liter!$F$3</c:f>
              <c:strCache>
                <c:ptCount val="1"/>
                <c:pt idx="0">
                  <c:v>Средно от Високи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avg_profit_liter!$A$4:$A$19</c:f>
              <c:multiLvlStrCache>
                <c:ptCount val="12"/>
                <c:lvl>
                  <c:pt idx="0">
                    <c:v>Трим.1</c:v>
                  </c:pt>
                  <c:pt idx="1">
                    <c:v>Трим.2</c:v>
                  </c:pt>
                  <c:pt idx="2">
                    <c:v>Трим.3</c:v>
                  </c:pt>
                  <c:pt idx="3">
                    <c:v>Трим.4</c:v>
                  </c:pt>
                  <c:pt idx="4">
                    <c:v>Трим.1</c:v>
                  </c:pt>
                  <c:pt idx="5">
                    <c:v>Трим.2</c:v>
                  </c:pt>
                  <c:pt idx="6">
                    <c:v>Трим.3</c:v>
                  </c:pt>
                  <c:pt idx="7">
                    <c:v>Трим.4</c:v>
                  </c:pt>
                  <c:pt idx="8">
                    <c:v>Трим.1</c:v>
                  </c:pt>
                  <c:pt idx="9">
                    <c:v>Трим.2</c:v>
                  </c:pt>
                  <c:pt idx="10">
                    <c:v>Трим.3</c:v>
                  </c:pt>
                  <c:pt idx="11">
                    <c:v>Трим.4</c:v>
                  </c:pt>
                </c:lvl>
                <c:lvl>
                  <c:pt idx="0">
                    <c:v>2019</c:v>
                  </c:pt>
                  <c:pt idx="4">
                    <c:v>2020</c:v>
                  </c:pt>
                  <c:pt idx="8">
                    <c:v>2021</c:v>
                  </c:pt>
                </c:lvl>
              </c:multiLvlStrCache>
            </c:multiLvlStrRef>
          </c:cat>
          <c:val>
            <c:numRef>
              <c:f>avg_profit_liter!$F$4:$F$19</c:f>
              <c:numCache>
                <c:formatCode>0.000</c:formatCode>
                <c:ptCount val="12"/>
                <c:pt idx="0">
                  <c:v>0.91611905718249187</c:v>
                </c:pt>
                <c:pt idx="1">
                  <c:v>0.91611905718249187</c:v>
                </c:pt>
                <c:pt idx="2">
                  <c:v>0.91611905718249187</c:v>
                </c:pt>
                <c:pt idx="3">
                  <c:v>0.91611905718249187</c:v>
                </c:pt>
                <c:pt idx="4">
                  <c:v>0.91611905718249187</c:v>
                </c:pt>
                <c:pt idx="5">
                  <c:v>0.91611905718249187</c:v>
                </c:pt>
                <c:pt idx="6">
                  <c:v>0.91611905718249187</c:v>
                </c:pt>
                <c:pt idx="7">
                  <c:v>0.91611905718249187</c:v>
                </c:pt>
                <c:pt idx="8">
                  <c:v>0.91611905718249187</c:v>
                </c:pt>
                <c:pt idx="9">
                  <c:v>0.91611905718249187</c:v>
                </c:pt>
                <c:pt idx="10">
                  <c:v>0.91611905718249187</c:v>
                </c:pt>
                <c:pt idx="11">
                  <c:v>0.91611905718249187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06D-4CEE-B5E6-FAE586811F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525626296"/>
        <c:axId val="525648928"/>
      </c:barChart>
      <c:lineChart>
        <c:grouping val="standard"/>
        <c:varyColors val="0"/>
        <c:ser>
          <c:idx val="2"/>
          <c:order val="2"/>
          <c:tx>
            <c:strRef>
              <c:f>avg_profit_liter!$D$3</c:f>
              <c:strCache>
                <c:ptCount val="1"/>
                <c:pt idx="0">
                  <c:v>Средно от Печалба/литър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avg_profit_liter!$A$4:$A$19</c:f>
              <c:multiLvlStrCache>
                <c:ptCount val="12"/>
                <c:lvl>
                  <c:pt idx="0">
                    <c:v>Трим.1</c:v>
                  </c:pt>
                  <c:pt idx="1">
                    <c:v>Трим.2</c:v>
                  </c:pt>
                  <c:pt idx="2">
                    <c:v>Трим.3</c:v>
                  </c:pt>
                  <c:pt idx="3">
                    <c:v>Трим.4</c:v>
                  </c:pt>
                  <c:pt idx="4">
                    <c:v>Трим.1</c:v>
                  </c:pt>
                  <c:pt idx="5">
                    <c:v>Трим.2</c:v>
                  </c:pt>
                  <c:pt idx="6">
                    <c:v>Трим.3</c:v>
                  </c:pt>
                  <c:pt idx="7">
                    <c:v>Трим.4</c:v>
                  </c:pt>
                  <c:pt idx="8">
                    <c:v>Трим.1</c:v>
                  </c:pt>
                  <c:pt idx="9">
                    <c:v>Трим.2</c:v>
                  </c:pt>
                  <c:pt idx="10">
                    <c:v>Трим.3</c:v>
                  </c:pt>
                  <c:pt idx="11">
                    <c:v>Трим.4</c:v>
                  </c:pt>
                </c:lvl>
                <c:lvl>
                  <c:pt idx="0">
                    <c:v>2019</c:v>
                  </c:pt>
                  <c:pt idx="4">
                    <c:v>2020</c:v>
                  </c:pt>
                  <c:pt idx="8">
                    <c:v>2021</c:v>
                  </c:pt>
                </c:lvl>
              </c:multiLvlStrCache>
            </c:multiLvlStrRef>
          </c:cat>
          <c:val>
            <c:numRef>
              <c:f>avg_profit_liter!$D$4:$D$19</c:f>
              <c:numCache>
                <c:formatCode>0.000</c:formatCode>
                <c:ptCount val="12"/>
                <c:pt idx="0">
                  <c:v>-0.17039462675891126</c:v>
                </c:pt>
                <c:pt idx="1">
                  <c:v>0.29094265458809493</c:v>
                </c:pt>
                <c:pt idx="2">
                  <c:v>8.7533153154446972E-2</c:v>
                </c:pt>
                <c:pt idx="3">
                  <c:v>0.24788126034180111</c:v>
                </c:pt>
                <c:pt idx="4">
                  <c:v>0.20908059718819069</c:v>
                </c:pt>
                <c:pt idx="5">
                  <c:v>0.18527782996010822</c:v>
                </c:pt>
                <c:pt idx="6">
                  <c:v>5.5056862035950144E-2</c:v>
                </c:pt>
                <c:pt idx="7">
                  <c:v>0.41607823868844068</c:v>
                </c:pt>
                <c:pt idx="8">
                  <c:v>0.11111488336491053</c:v>
                </c:pt>
                <c:pt idx="9">
                  <c:v>0.22433690251161667</c:v>
                </c:pt>
                <c:pt idx="10">
                  <c:v>3.7868738408665559E-2</c:v>
                </c:pt>
                <c:pt idx="11">
                  <c:v>0.48903719428085896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06D-4CEE-B5E6-FAE586811F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626296"/>
        <c:axId val="525648928"/>
      </c:lineChart>
      <c:catAx>
        <c:axId val="525626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5648928"/>
        <c:crosses val="autoZero"/>
        <c:auto val="1"/>
        <c:lblAlgn val="ctr"/>
        <c:lblOffset val="100"/>
        <c:noMultiLvlLbl val="0"/>
      </c:catAx>
      <c:valAx>
        <c:axId val="525648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5626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[st.zagora_dashboard4.xlsx]Price!Обобщена таблица7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bg-BG"/>
              <a:t>Цена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Price!$B$3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Price!$A$4:$A$19</c:f>
              <c:multiLvlStrCache>
                <c:ptCount val="12"/>
                <c:lvl>
                  <c:pt idx="0">
                    <c:v>Трим.1</c:v>
                  </c:pt>
                  <c:pt idx="1">
                    <c:v>Трим.2</c:v>
                  </c:pt>
                  <c:pt idx="2">
                    <c:v>Трим.3</c:v>
                  </c:pt>
                  <c:pt idx="3">
                    <c:v>Трим.4</c:v>
                  </c:pt>
                  <c:pt idx="4">
                    <c:v>Трим.1</c:v>
                  </c:pt>
                  <c:pt idx="5">
                    <c:v>Трим.2</c:v>
                  </c:pt>
                  <c:pt idx="6">
                    <c:v>Трим.3</c:v>
                  </c:pt>
                  <c:pt idx="7">
                    <c:v>Трим.4</c:v>
                  </c:pt>
                  <c:pt idx="8">
                    <c:v>Трим.1</c:v>
                  </c:pt>
                  <c:pt idx="9">
                    <c:v>Трим.2</c:v>
                  </c:pt>
                  <c:pt idx="10">
                    <c:v>Трим.3</c:v>
                  </c:pt>
                  <c:pt idx="11">
                    <c:v>Трим.4</c:v>
                  </c:pt>
                </c:lvl>
                <c:lvl>
                  <c:pt idx="0">
                    <c:v>2019</c:v>
                  </c:pt>
                  <c:pt idx="4">
                    <c:v>2020</c:v>
                  </c:pt>
                  <c:pt idx="8">
                    <c:v>2021</c:v>
                  </c:pt>
                </c:lvl>
              </c:multiLvlStrCache>
            </c:multiLvlStrRef>
          </c:cat>
          <c:val>
            <c:numRef>
              <c:f>Price!$B$4:$B$19</c:f>
              <c:numCache>
                <c:formatCode>0.000</c:formatCode>
                <c:ptCount val="12"/>
                <c:pt idx="0">
                  <c:v>0.69666666666666666</c:v>
                </c:pt>
                <c:pt idx="1">
                  <c:v>0.67164079019355605</c:v>
                </c:pt>
                <c:pt idx="2">
                  <c:v>0.71</c:v>
                </c:pt>
                <c:pt idx="3">
                  <c:v>0.75128342461016351</c:v>
                </c:pt>
                <c:pt idx="4">
                  <c:v>0.75999863914334076</c:v>
                </c:pt>
                <c:pt idx="5">
                  <c:v>0.71818733644048727</c:v>
                </c:pt>
                <c:pt idx="6">
                  <c:v>0.71733006018489343</c:v>
                </c:pt>
                <c:pt idx="7">
                  <c:v>0.74352331309127306</c:v>
                </c:pt>
                <c:pt idx="8">
                  <c:v>0.74999965766039633</c:v>
                </c:pt>
                <c:pt idx="9">
                  <c:v>0.75</c:v>
                </c:pt>
                <c:pt idx="10">
                  <c:v>0.76456698497465736</c:v>
                </c:pt>
                <c:pt idx="11">
                  <c:v>0.83666666666666678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72-48C3-A280-AEAC92DCB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6239992"/>
        <c:axId val="526235400"/>
      </c:barChart>
      <c:catAx>
        <c:axId val="526239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6235400"/>
        <c:crosses val="autoZero"/>
        <c:auto val="1"/>
        <c:lblAlgn val="ctr"/>
        <c:lblOffset val="100"/>
        <c:noMultiLvlLbl val="0"/>
      </c:catAx>
      <c:valAx>
        <c:axId val="526235400"/>
        <c:scaling>
          <c:orientation val="minMax"/>
          <c:max val="0.85000000000000009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62399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[1]Summary!$G$1</c:f>
              <c:strCache>
                <c:ptCount val="1"/>
                <c:pt idx="0">
                  <c:v>Общи приходи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[1]Summary!$G$2:$G$37</c:f>
              <c:numCache>
                <c:formatCode>General</c:formatCode>
                <c:ptCount val="36"/>
                <c:pt idx="0">
                  <c:v>72773.73</c:v>
                </c:pt>
                <c:pt idx="1">
                  <c:v>91070.5</c:v>
                </c:pt>
                <c:pt idx="2">
                  <c:v>119672.78</c:v>
                </c:pt>
                <c:pt idx="3">
                  <c:v>209397.75</c:v>
                </c:pt>
                <c:pt idx="4">
                  <c:v>155574.74</c:v>
                </c:pt>
                <c:pt idx="5">
                  <c:v>126427.66</c:v>
                </c:pt>
                <c:pt idx="6">
                  <c:v>147730.63</c:v>
                </c:pt>
                <c:pt idx="7">
                  <c:v>153521.88</c:v>
                </c:pt>
                <c:pt idx="8">
                  <c:v>143260.25</c:v>
                </c:pt>
                <c:pt idx="9">
                  <c:v>143129.95000000001</c:v>
                </c:pt>
                <c:pt idx="10">
                  <c:v>173388.68000000002</c:v>
                </c:pt>
                <c:pt idx="11">
                  <c:v>294302.34999999998</c:v>
                </c:pt>
                <c:pt idx="12">
                  <c:v>305177.13</c:v>
                </c:pt>
                <c:pt idx="13">
                  <c:v>175315.20000000001</c:v>
                </c:pt>
                <c:pt idx="14">
                  <c:v>211821.62</c:v>
                </c:pt>
                <c:pt idx="15">
                  <c:v>269447.88</c:v>
                </c:pt>
                <c:pt idx="16">
                  <c:v>195494.1</c:v>
                </c:pt>
                <c:pt idx="17">
                  <c:v>214306.03000000003</c:v>
                </c:pt>
                <c:pt idx="18">
                  <c:v>192001.68</c:v>
                </c:pt>
                <c:pt idx="19">
                  <c:v>227282.56</c:v>
                </c:pt>
                <c:pt idx="20">
                  <c:v>194945.61000000002</c:v>
                </c:pt>
                <c:pt idx="21">
                  <c:v>189128.59</c:v>
                </c:pt>
                <c:pt idx="22">
                  <c:v>208408.2</c:v>
                </c:pt>
                <c:pt idx="23">
                  <c:v>422937.16000000003</c:v>
                </c:pt>
                <c:pt idx="24">
                  <c:v>190818.5</c:v>
                </c:pt>
                <c:pt idx="25">
                  <c:v>193159.75</c:v>
                </c:pt>
                <c:pt idx="26">
                  <c:v>216364.27</c:v>
                </c:pt>
                <c:pt idx="27">
                  <c:v>279303.28000000003</c:v>
                </c:pt>
                <c:pt idx="28">
                  <c:v>201754.25</c:v>
                </c:pt>
                <c:pt idx="29">
                  <c:v>176796.97</c:v>
                </c:pt>
                <c:pt idx="30">
                  <c:v>158392.04999999999</c:v>
                </c:pt>
                <c:pt idx="31">
                  <c:v>185403.73</c:v>
                </c:pt>
                <c:pt idx="32">
                  <c:v>183763.27</c:v>
                </c:pt>
                <c:pt idx="33">
                  <c:v>186813.29</c:v>
                </c:pt>
                <c:pt idx="34">
                  <c:v>198813.36000000002</c:v>
                </c:pt>
                <c:pt idx="35">
                  <c:v>455050.73000000004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F9-47DE-8E83-B398C74B09E6}"/>
            </c:ext>
          </c:extLst>
        </c:ser>
        <c:ser>
          <c:idx val="1"/>
          <c:order val="1"/>
          <c:tx>
            <c:strRef>
              <c:f>[1]Summary!$F$1</c:f>
              <c:strCache>
                <c:ptCount val="1"/>
                <c:pt idx="0">
                  <c:v>Субсидия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[1]Summary!$F$2:$F$37</c:f>
              <c:numCache>
                <c:formatCode>General</c:formatCode>
                <c:ptCount val="36"/>
                <c:pt idx="0">
                  <c:v>2429.33</c:v>
                </c:pt>
                <c:pt idx="1">
                  <c:v>0</c:v>
                </c:pt>
                <c:pt idx="2">
                  <c:v>0</c:v>
                </c:pt>
                <c:pt idx="3">
                  <c:v>87679.55</c:v>
                </c:pt>
                <c:pt idx="4">
                  <c:v>12244.630000000001</c:v>
                </c:pt>
                <c:pt idx="5">
                  <c:v>0</c:v>
                </c:pt>
                <c:pt idx="6">
                  <c:v>5480</c:v>
                </c:pt>
                <c:pt idx="7">
                  <c:v>0</c:v>
                </c:pt>
                <c:pt idx="8">
                  <c:v>0</c:v>
                </c:pt>
                <c:pt idx="9">
                  <c:v>4236.17</c:v>
                </c:pt>
                <c:pt idx="10">
                  <c:v>16356.98</c:v>
                </c:pt>
                <c:pt idx="11">
                  <c:v>121467.70999999999</c:v>
                </c:pt>
                <c:pt idx="12">
                  <c:v>117079.12999999999</c:v>
                </c:pt>
                <c:pt idx="13">
                  <c:v>0</c:v>
                </c:pt>
                <c:pt idx="14">
                  <c:v>4057.62</c:v>
                </c:pt>
                <c:pt idx="15">
                  <c:v>77507.38</c:v>
                </c:pt>
                <c:pt idx="16">
                  <c:v>0</c:v>
                </c:pt>
                <c:pt idx="17">
                  <c:v>27349.89</c:v>
                </c:pt>
                <c:pt idx="18">
                  <c:v>0</c:v>
                </c:pt>
                <c:pt idx="19">
                  <c:v>25000</c:v>
                </c:pt>
                <c:pt idx="20">
                  <c:v>10419.689999999999</c:v>
                </c:pt>
                <c:pt idx="21">
                  <c:v>9000</c:v>
                </c:pt>
                <c:pt idx="22">
                  <c:v>24362.2</c:v>
                </c:pt>
                <c:pt idx="23">
                  <c:v>261816.16</c:v>
                </c:pt>
                <c:pt idx="24">
                  <c:v>3391.5</c:v>
                </c:pt>
                <c:pt idx="25">
                  <c:v>6460</c:v>
                </c:pt>
                <c:pt idx="26">
                  <c:v>4392.5200000000004</c:v>
                </c:pt>
                <c:pt idx="27">
                  <c:v>76229.03</c:v>
                </c:pt>
                <c:pt idx="28">
                  <c:v>0</c:v>
                </c:pt>
                <c:pt idx="29">
                  <c:v>1221.97</c:v>
                </c:pt>
                <c:pt idx="30">
                  <c:v>0</c:v>
                </c:pt>
                <c:pt idx="31">
                  <c:v>24978.73</c:v>
                </c:pt>
                <c:pt idx="32">
                  <c:v>4322.2700000000004</c:v>
                </c:pt>
                <c:pt idx="33">
                  <c:v>0</c:v>
                </c:pt>
                <c:pt idx="34">
                  <c:v>28523.34</c:v>
                </c:pt>
                <c:pt idx="35">
                  <c:v>279358.28000000003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AF9-47DE-8E83-B398C74B09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4932072"/>
        <c:axId val="434932400"/>
      </c:lineChart>
      <c:catAx>
        <c:axId val="43493207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4932400"/>
        <c:crosses val="autoZero"/>
        <c:auto val="1"/>
        <c:lblAlgn val="ctr"/>
        <c:lblOffset val="100"/>
        <c:noMultiLvlLbl val="0"/>
      </c:catAx>
      <c:valAx>
        <c:axId val="434932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49320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[2]Summary!$V$1</c:f>
              <c:strCache>
                <c:ptCount val="1"/>
                <c:pt idx="0">
                  <c:v>Печалба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[2]Summary!$W$2:$W$37</c:f>
              <c:numCache>
                <c:formatCode>General</c:formatCode>
                <c:ptCount val="36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</c:numCache>
            </c:numRef>
          </c:cat>
          <c:val>
            <c:numRef>
              <c:f>[2]Summary!$V$2:$V$37</c:f>
              <c:numCache>
                <c:formatCode>General</c:formatCode>
                <c:ptCount val="36"/>
                <c:pt idx="0">
                  <c:v>-32616.01999999999</c:v>
                </c:pt>
                <c:pt idx="1">
                  <c:v>-15815.289999999979</c:v>
                </c:pt>
                <c:pt idx="2">
                  <c:v>-10403.690000000002</c:v>
                </c:pt>
                <c:pt idx="3">
                  <c:v>104427.94</c:v>
                </c:pt>
                <c:pt idx="4">
                  <c:v>45592.889999999985</c:v>
                </c:pt>
                <c:pt idx="5">
                  <c:v>10611.149999999994</c:v>
                </c:pt>
                <c:pt idx="6">
                  <c:v>3095.210000000021</c:v>
                </c:pt>
                <c:pt idx="7">
                  <c:v>44741.859999999986</c:v>
                </c:pt>
                <c:pt idx="8">
                  <c:v>8117.5800000000163</c:v>
                </c:pt>
                <c:pt idx="9">
                  <c:v>4862.4200000000128</c:v>
                </c:pt>
                <c:pt idx="10">
                  <c:v>21164.680000000051</c:v>
                </c:pt>
                <c:pt idx="11">
                  <c:v>139744.69</c:v>
                </c:pt>
                <c:pt idx="12">
                  <c:v>109103.59</c:v>
                </c:pt>
                <c:pt idx="13">
                  <c:v>-10986.630000000005</c:v>
                </c:pt>
                <c:pt idx="14">
                  <c:v>55607.739999999991</c:v>
                </c:pt>
                <c:pt idx="15">
                  <c:v>67911.580000000016</c:v>
                </c:pt>
                <c:pt idx="16">
                  <c:v>31806.920000000042</c:v>
                </c:pt>
                <c:pt idx="17">
                  <c:v>46298.380000000005</c:v>
                </c:pt>
                <c:pt idx="18">
                  <c:v>8479.5499999999884</c:v>
                </c:pt>
                <c:pt idx="19">
                  <c:v>33012.26999999999</c:v>
                </c:pt>
                <c:pt idx="20">
                  <c:v>4157.7700000000186</c:v>
                </c:pt>
                <c:pt idx="21">
                  <c:v>-3619.6100000000151</c:v>
                </c:pt>
                <c:pt idx="22">
                  <c:v>18077.02999999997</c:v>
                </c:pt>
                <c:pt idx="23">
                  <c:v>247057.53</c:v>
                </c:pt>
                <c:pt idx="24">
                  <c:v>51816.44</c:v>
                </c:pt>
                <c:pt idx="25">
                  <c:v>19480.080000000016</c:v>
                </c:pt>
                <c:pt idx="26">
                  <c:v>11933.869999999995</c:v>
                </c:pt>
                <c:pt idx="27">
                  <c:v>79142.110000000015</c:v>
                </c:pt>
                <c:pt idx="28">
                  <c:v>69894.669999999984</c:v>
                </c:pt>
                <c:pt idx="29">
                  <c:v>27011.839999999997</c:v>
                </c:pt>
                <c:pt idx="30">
                  <c:v>-61824.520000000019</c:v>
                </c:pt>
                <c:pt idx="31">
                  <c:v>25084.97000000003</c:v>
                </c:pt>
                <c:pt idx="32">
                  <c:v>60809.059999999983</c:v>
                </c:pt>
                <c:pt idx="33">
                  <c:v>44925.100000000006</c:v>
                </c:pt>
                <c:pt idx="34">
                  <c:v>41982.74000000002</c:v>
                </c:pt>
                <c:pt idx="35">
                  <c:v>214863.01000000007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92-4B25-84AF-C67F4688B5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4052528"/>
        <c:axId val="534058432"/>
      </c:lineChart>
      <c:catAx>
        <c:axId val="534052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4058432"/>
        <c:crosses val="autoZero"/>
        <c:auto val="1"/>
        <c:lblAlgn val="ctr"/>
        <c:lblOffset val="100"/>
        <c:noMultiLvlLbl val="1"/>
      </c:catAx>
      <c:valAx>
        <c:axId val="534058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40525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RawData!$AK$1</c:f>
              <c:strCache>
                <c:ptCount val="1"/>
                <c:pt idx="0">
                  <c:v>Печалба/литър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RawData!$AK$2:$AK$37</c:f>
              <c:numCache>
                <c:formatCode>0.00</c:formatCode>
                <c:ptCount val="36"/>
                <c:pt idx="0">
                  <c:v>-0.32456334832623485</c:v>
                </c:pt>
                <c:pt idx="1">
                  <c:v>-0.12479023158559181</c:v>
                </c:pt>
                <c:pt idx="2">
                  <c:v>-6.1830300364907123E-2</c:v>
                </c:pt>
                <c:pt idx="3">
                  <c:v>0.57904859601650183</c:v>
                </c:pt>
                <c:pt idx="4">
                  <c:v>0.23754586235821867</c:v>
                </c:pt>
                <c:pt idx="5">
                  <c:v>5.6233505389564245E-2</c:v>
                </c:pt>
                <c:pt idx="6">
                  <c:v>1.5448782898184809E-2</c:v>
                </c:pt>
                <c:pt idx="7">
                  <c:v>0.20691982536951731</c:v>
                </c:pt>
                <c:pt idx="8">
                  <c:v>4.0230851195638788E-2</c:v>
                </c:pt>
                <c:pt idx="9">
                  <c:v>2.7025155345094056E-2</c:v>
                </c:pt>
                <c:pt idx="10">
                  <c:v>0.10212395956476658</c:v>
                </c:pt>
                <c:pt idx="11">
                  <c:v>0.6144946661155426</c:v>
                </c:pt>
                <c:pt idx="12">
                  <c:v>0.46398233437949188</c:v>
                </c:pt>
                <c:pt idx="13">
                  <c:v>-4.8056294287463934E-2</c:v>
                </c:pt>
                <c:pt idx="14">
                  <c:v>0.21131575147254414</c:v>
                </c:pt>
                <c:pt idx="15">
                  <c:v>0.25828375181604513</c:v>
                </c:pt>
                <c:pt idx="16">
                  <c:v>0.11463316358341728</c:v>
                </c:pt>
                <c:pt idx="17">
                  <c:v>0.18291657448086224</c:v>
                </c:pt>
                <c:pt idx="18">
                  <c:v>3.1444289109982933E-2</c:v>
                </c:pt>
                <c:pt idx="19">
                  <c:v>0.11750313225223169</c:v>
                </c:pt>
                <c:pt idx="20">
                  <c:v>1.6223164745635808E-2</c:v>
                </c:pt>
                <c:pt idx="21">
                  <c:v>-1.4680621519567545E-2</c:v>
                </c:pt>
                <c:pt idx="22">
                  <c:v>8.436881014832294E-2</c:v>
                </c:pt>
                <c:pt idx="23">
                  <c:v>1.1785465274365665</c:v>
                </c:pt>
                <c:pt idx="24">
                  <c:v>0.21286583437062234</c:v>
                </c:pt>
                <c:pt idx="25">
                  <c:v>7.8254309392487204E-2</c:v>
                </c:pt>
                <c:pt idx="26">
                  <c:v>4.2224506331622003E-2</c:v>
                </c:pt>
                <c:pt idx="27">
                  <c:v>0.29519733382071556</c:v>
                </c:pt>
                <c:pt idx="28">
                  <c:v>0.26242747025407465</c:v>
                </c:pt>
                <c:pt idx="29">
                  <c:v>0.11538590346005979</c:v>
                </c:pt>
                <c:pt idx="30">
                  <c:v>-0.29274359581419584</c:v>
                </c:pt>
                <c:pt idx="31">
                  <c:v>0.11727428705002352</c:v>
                </c:pt>
                <c:pt idx="32">
                  <c:v>0.289075523990169</c:v>
                </c:pt>
                <c:pt idx="33">
                  <c:v>0.21639283460736292</c:v>
                </c:pt>
                <c:pt idx="34">
                  <c:v>0.21121159525282873</c:v>
                </c:pt>
                <c:pt idx="35">
                  <c:v>1.0395071529823852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1B-417F-9C63-AA951BFD1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7793256"/>
        <c:axId val="417793584"/>
      </c:lineChart>
      <c:catAx>
        <c:axId val="41779325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7793584"/>
        <c:crosses val="autoZero"/>
        <c:auto val="1"/>
        <c:lblAlgn val="ctr"/>
        <c:lblOffset val="100"/>
        <c:noMultiLvlLbl val="0"/>
      </c:catAx>
      <c:valAx>
        <c:axId val="417793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77932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[1]Summary!$G$1</c:f>
              <c:strCache>
                <c:ptCount val="1"/>
                <c:pt idx="0">
                  <c:v>Общи приходи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[1]Summary!$G$2:$G$37</c:f>
              <c:numCache>
                <c:formatCode>General</c:formatCode>
                <c:ptCount val="36"/>
                <c:pt idx="0">
                  <c:v>72773.73</c:v>
                </c:pt>
                <c:pt idx="1">
                  <c:v>91070.5</c:v>
                </c:pt>
                <c:pt idx="2">
                  <c:v>119672.78</c:v>
                </c:pt>
                <c:pt idx="3">
                  <c:v>209397.75</c:v>
                </c:pt>
                <c:pt idx="4">
                  <c:v>155574.74</c:v>
                </c:pt>
                <c:pt idx="5">
                  <c:v>126427.66</c:v>
                </c:pt>
                <c:pt idx="6">
                  <c:v>147730.63</c:v>
                </c:pt>
                <c:pt idx="7">
                  <c:v>153521.88</c:v>
                </c:pt>
                <c:pt idx="8">
                  <c:v>143260.25</c:v>
                </c:pt>
                <c:pt idx="9">
                  <c:v>143129.95000000001</c:v>
                </c:pt>
                <c:pt idx="10">
                  <c:v>173388.68000000002</c:v>
                </c:pt>
                <c:pt idx="11">
                  <c:v>294302.34999999998</c:v>
                </c:pt>
                <c:pt idx="12">
                  <c:v>305177.13</c:v>
                </c:pt>
                <c:pt idx="13">
                  <c:v>175315.20000000001</c:v>
                </c:pt>
                <c:pt idx="14">
                  <c:v>211821.62</c:v>
                </c:pt>
                <c:pt idx="15">
                  <c:v>269447.88</c:v>
                </c:pt>
                <c:pt idx="16">
                  <c:v>195494.1</c:v>
                </c:pt>
                <c:pt idx="17">
                  <c:v>214306.03000000003</c:v>
                </c:pt>
                <c:pt idx="18">
                  <c:v>192001.68</c:v>
                </c:pt>
                <c:pt idx="19">
                  <c:v>227282.56</c:v>
                </c:pt>
                <c:pt idx="20">
                  <c:v>194945.61000000002</c:v>
                </c:pt>
                <c:pt idx="21">
                  <c:v>189128.59</c:v>
                </c:pt>
                <c:pt idx="22">
                  <c:v>208408.2</c:v>
                </c:pt>
                <c:pt idx="23">
                  <c:v>422937.16000000003</c:v>
                </c:pt>
                <c:pt idx="24">
                  <c:v>190818.5</c:v>
                </c:pt>
                <c:pt idx="25">
                  <c:v>193159.75</c:v>
                </c:pt>
                <c:pt idx="26">
                  <c:v>216364.27</c:v>
                </c:pt>
                <c:pt idx="27">
                  <c:v>279303.28000000003</c:v>
                </c:pt>
                <c:pt idx="28">
                  <c:v>201754.25</c:v>
                </c:pt>
                <c:pt idx="29">
                  <c:v>176796.97</c:v>
                </c:pt>
                <c:pt idx="30">
                  <c:v>158392.04999999999</c:v>
                </c:pt>
                <c:pt idx="31">
                  <c:v>185403.73</c:v>
                </c:pt>
                <c:pt idx="32">
                  <c:v>183763.27</c:v>
                </c:pt>
                <c:pt idx="33">
                  <c:v>186813.29</c:v>
                </c:pt>
                <c:pt idx="34">
                  <c:v>198813.36000000002</c:v>
                </c:pt>
                <c:pt idx="35">
                  <c:v>455050.73000000004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31-4927-B8C5-DC61D424393A}"/>
            </c:ext>
          </c:extLst>
        </c:ser>
        <c:ser>
          <c:idx val="1"/>
          <c:order val="1"/>
          <c:tx>
            <c:strRef>
              <c:f>[1]Summary!$F$1</c:f>
              <c:strCache>
                <c:ptCount val="1"/>
                <c:pt idx="0">
                  <c:v>Субсидия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[1]Summary!$F$2:$F$37</c:f>
              <c:numCache>
                <c:formatCode>General</c:formatCode>
                <c:ptCount val="36"/>
                <c:pt idx="0">
                  <c:v>2429.33</c:v>
                </c:pt>
                <c:pt idx="1">
                  <c:v>0</c:v>
                </c:pt>
                <c:pt idx="2">
                  <c:v>0</c:v>
                </c:pt>
                <c:pt idx="3">
                  <c:v>87679.55</c:v>
                </c:pt>
                <c:pt idx="4">
                  <c:v>12244.630000000001</c:v>
                </c:pt>
                <c:pt idx="5">
                  <c:v>0</c:v>
                </c:pt>
                <c:pt idx="6">
                  <c:v>5480</c:v>
                </c:pt>
                <c:pt idx="7">
                  <c:v>0</c:v>
                </c:pt>
                <c:pt idx="8">
                  <c:v>0</c:v>
                </c:pt>
                <c:pt idx="9">
                  <c:v>4236.17</c:v>
                </c:pt>
                <c:pt idx="10">
                  <c:v>16356.98</c:v>
                </c:pt>
                <c:pt idx="11">
                  <c:v>121467.70999999999</c:v>
                </c:pt>
                <c:pt idx="12">
                  <c:v>117079.12999999999</c:v>
                </c:pt>
                <c:pt idx="13">
                  <c:v>0</c:v>
                </c:pt>
                <c:pt idx="14">
                  <c:v>4057.62</c:v>
                </c:pt>
                <c:pt idx="15">
                  <c:v>77507.38</c:v>
                </c:pt>
                <c:pt idx="16">
                  <c:v>0</c:v>
                </c:pt>
                <c:pt idx="17">
                  <c:v>27349.89</c:v>
                </c:pt>
                <c:pt idx="18">
                  <c:v>0</c:v>
                </c:pt>
                <c:pt idx="19">
                  <c:v>25000</c:v>
                </c:pt>
                <c:pt idx="20">
                  <c:v>10419.689999999999</c:v>
                </c:pt>
                <c:pt idx="21">
                  <c:v>9000</c:v>
                </c:pt>
                <c:pt idx="22">
                  <c:v>24362.2</c:v>
                </c:pt>
                <c:pt idx="23">
                  <c:v>261816.16</c:v>
                </c:pt>
                <c:pt idx="24">
                  <c:v>3391.5</c:v>
                </c:pt>
                <c:pt idx="25">
                  <c:v>6460</c:v>
                </c:pt>
                <c:pt idx="26">
                  <c:v>4392.5200000000004</c:v>
                </c:pt>
                <c:pt idx="27">
                  <c:v>76229.03</c:v>
                </c:pt>
                <c:pt idx="28">
                  <c:v>0</c:v>
                </c:pt>
                <c:pt idx="29">
                  <c:v>1221.97</c:v>
                </c:pt>
                <c:pt idx="30">
                  <c:v>0</c:v>
                </c:pt>
                <c:pt idx="31">
                  <c:v>24978.73</c:v>
                </c:pt>
                <c:pt idx="32">
                  <c:v>4322.2700000000004</c:v>
                </c:pt>
                <c:pt idx="33">
                  <c:v>0</c:v>
                </c:pt>
                <c:pt idx="34">
                  <c:v>28523.34</c:v>
                </c:pt>
                <c:pt idx="35">
                  <c:v>279358.28000000003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31-4927-B8C5-DC61D42439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4932072"/>
        <c:axId val="434932400"/>
      </c:lineChart>
      <c:catAx>
        <c:axId val="43493207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4932400"/>
        <c:crosses val="autoZero"/>
        <c:auto val="1"/>
        <c:lblAlgn val="ctr"/>
        <c:lblOffset val="100"/>
        <c:noMultiLvlLbl val="0"/>
      </c:catAx>
      <c:valAx>
        <c:axId val="434932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49320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[2]Summary!$V$1</c:f>
              <c:strCache>
                <c:ptCount val="1"/>
                <c:pt idx="0">
                  <c:v>Печалба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[2]Summary!$W$2:$W$37</c:f>
              <c:numCache>
                <c:formatCode>General</c:formatCode>
                <c:ptCount val="36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</c:numCache>
            </c:numRef>
          </c:cat>
          <c:val>
            <c:numRef>
              <c:f>[2]Summary!$V$2:$V$37</c:f>
              <c:numCache>
                <c:formatCode>General</c:formatCode>
                <c:ptCount val="36"/>
                <c:pt idx="0">
                  <c:v>-32616.01999999999</c:v>
                </c:pt>
                <c:pt idx="1">
                  <c:v>-15815.289999999979</c:v>
                </c:pt>
                <c:pt idx="2">
                  <c:v>-10403.690000000002</c:v>
                </c:pt>
                <c:pt idx="3">
                  <c:v>104427.94</c:v>
                </c:pt>
                <c:pt idx="4">
                  <c:v>45592.889999999985</c:v>
                </c:pt>
                <c:pt idx="5">
                  <c:v>10611.149999999994</c:v>
                </c:pt>
                <c:pt idx="6">
                  <c:v>3095.210000000021</c:v>
                </c:pt>
                <c:pt idx="7">
                  <c:v>44741.859999999986</c:v>
                </c:pt>
                <c:pt idx="8">
                  <c:v>8117.5800000000163</c:v>
                </c:pt>
                <c:pt idx="9">
                  <c:v>4862.4200000000128</c:v>
                </c:pt>
                <c:pt idx="10">
                  <c:v>21164.680000000051</c:v>
                </c:pt>
                <c:pt idx="11">
                  <c:v>139744.69</c:v>
                </c:pt>
                <c:pt idx="12">
                  <c:v>109103.59</c:v>
                </c:pt>
                <c:pt idx="13">
                  <c:v>-10986.630000000005</c:v>
                </c:pt>
                <c:pt idx="14">
                  <c:v>55607.739999999991</c:v>
                </c:pt>
                <c:pt idx="15">
                  <c:v>67911.580000000016</c:v>
                </c:pt>
                <c:pt idx="16">
                  <c:v>31806.920000000042</c:v>
                </c:pt>
                <c:pt idx="17">
                  <c:v>46298.380000000005</c:v>
                </c:pt>
                <c:pt idx="18">
                  <c:v>8479.5499999999884</c:v>
                </c:pt>
                <c:pt idx="19">
                  <c:v>33012.26999999999</c:v>
                </c:pt>
                <c:pt idx="20">
                  <c:v>4157.7700000000186</c:v>
                </c:pt>
                <c:pt idx="21">
                  <c:v>-3619.6100000000151</c:v>
                </c:pt>
                <c:pt idx="22">
                  <c:v>18077.02999999997</c:v>
                </c:pt>
                <c:pt idx="23">
                  <c:v>247057.53</c:v>
                </c:pt>
                <c:pt idx="24">
                  <c:v>51816.44</c:v>
                </c:pt>
                <c:pt idx="25">
                  <c:v>19480.080000000016</c:v>
                </c:pt>
                <c:pt idx="26">
                  <c:v>11933.869999999995</c:v>
                </c:pt>
                <c:pt idx="27">
                  <c:v>79142.110000000015</c:v>
                </c:pt>
                <c:pt idx="28">
                  <c:v>69894.669999999984</c:v>
                </c:pt>
                <c:pt idx="29">
                  <c:v>27011.839999999997</c:v>
                </c:pt>
                <c:pt idx="30">
                  <c:v>-61824.520000000019</c:v>
                </c:pt>
                <c:pt idx="31">
                  <c:v>25084.97000000003</c:v>
                </c:pt>
                <c:pt idx="32">
                  <c:v>60809.059999999983</c:v>
                </c:pt>
                <c:pt idx="33">
                  <c:v>44925.100000000006</c:v>
                </c:pt>
                <c:pt idx="34">
                  <c:v>41982.74000000002</c:v>
                </c:pt>
                <c:pt idx="35">
                  <c:v>214863.01000000007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BF-45C1-8A76-BA7CE9A0C7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4052528"/>
        <c:axId val="534058432"/>
      </c:lineChart>
      <c:catAx>
        <c:axId val="534052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4058432"/>
        <c:crosses val="autoZero"/>
        <c:auto val="1"/>
        <c:lblAlgn val="ctr"/>
        <c:lblOffset val="100"/>
        <c:noMultiLvlLbl val="1"/>
      </c:catAx>
      <c:valAx>
        <c:axId val="534058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40525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RawData!$X$14:$X$37</c:f>
              <c:numCache>
                <c:formatCode>0.00</c:formatCode>
                <c:ptCount val="24"/>
                <c:pt idx="0">
                  <c:v>0.56477418284810277</c:v>
                </c:pt>
                <c:pt idx="1">
                  <c:v>0.57164482547458662</c:v>
                </c:pt>
                <c:pt idx="2">
                  <c:v>0.51753498004940157</c:v>
                </c:pt>
                <c:pt idx="3">
                  <c:v>0.53054534598036007</c:v>
                </c:pt>
                <c:pt idx="4">
                  <c:v>0.49524772315266308</c:v>
                </c:pt>
                <c:pt idx="5">
                  <c:v>0.54654453364518474</c:v>
                </c:pt>
                <c:pt idx="6">
                  <c:v>0.53839811027593099</c:v>
                </c:pt>
                <c:pt idx="7">
                  <c:v>0.51809648048749224</c:v>
                </c:pt>
                <c:pt idx="8">
                  <c:v>0.57415574787542034</c:v>
                </c:pt>
                <c:pt idx="9">
                  <c:v>0.60422624383002721</c:v>
                </c:pt>
                <c:pt idx="10">
                  <c:v>0.73743640962933243</c:v>
                </c:pt>
                <c:pt idx="11">
                  <c:v>0.6765506680850456</c:v>
                </c:pt>
                <c:pt idx="12">
                  <c:v>0.53607300871322761</c:v>
                </c:pt>
                <c:pt idx="13">
                  <c:v>0.5933343108386594</c:v>
                </c:pt>
                <c:pt idx="14">
                  <c:v>0.64180519338072173</c:v>
                </c:pt>
                <c:pt idx="15">
                  <c:v>0.65068187497901897</c:v>
                </c:pt>
                <c:pt idx="16">
                  <c:v>0.4788055072670544</c:v>
                </c:pt>
                <c:pt idx="17">
                  <c:v>0.61985241349850484</c:v>
                </c:pt>
                <c:pt idx="18">
                  <c:v>0.69683436715753588</c:v>
                </c:pt>
                <c:pt idx="19">
                  <c:v>0.6495639551192145</c:v>
                </c:pt>
                <c:pt idx="20">
                  <c:v>0.58222169930166334</c:v>
                </c:pt>
                <c:pt idx="21">
                  <c:v>0.5718796872967935</c:v>
                </c:pt>
                <c:pt idx="22">
                  <c:v>0.78315438368776136</c:v>
                </c:pt>
                <c:pt idx="23">
                  <c:v>0.79511521696009135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D6-4222-A576-E69B8BF0ACBC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RawData!$AB$14:$AB$37</c:f>
              <c:numCache>
                <c:formatCode>0.00</c:formatCode>
                <c:ptCount val="24"/>
                <c:pt idx="0">
                  <c:v>1.7570946222639847</c:v>
                </c:pt>
                <c:pt idx="1">
                  <c:v>1.7841733060559506</c:v>
                </c:pt>
                <c:pt idx="2">
                  <c:v>1.9012544377798193</c:v>
                </c:pt>
                <c:pt idx="3">
                  <c:v>1.8702239088903025</c:v>
                </c:pt>
                <c:pt idx="4">
                  <c:v>1.7366671241656753</c:v>
                </c:pt>
                <c:pt idx="5">
                  <c:v>1.6525606756686053</c:v>
                </c:pt>
                <c:pt idx="6">
                  <c:v>1.7186701261761372</c:v>
                </c:pt>
                <c:pt idx="7">
                  <c:v>1.6693499330923309</c:v>
                </c:pt>
                <c:pt idx="8">
                  <c:v>1.4694297621649903</c:v>
                </c:pt>
                <c:pt idx="9">
                  <c:v>1.4691820083866292</c:v>
                </c:pt>
                <c:pt idx="10">
                  <c:v>1.3680134656057359</c:v>
                </c:pt>
                <c:pt idx="11">
                  <c:v>1.3943391715113185</c:v>
                </c:pt>
                <c:pt idx="12">
                  <c:v>1.7974333997499679</c:v>
                </c:pt>
                <c:pt idx="13">
                  <c:v>1.5982515087959595</c:v>
                </c:pt>
                <c:pt idx="14">
                  <c:v>1.4312723505744962</c:v>
                </c:pt>
                <c:pt idx="15">
                  <c:v>1.375742532562098</c:v>
                </c:pt>
                <c:pt idx="16">
                  <c:v>1.9850533384160216</c:v>
                </c:pt>
                <c:pt idx="17">
                  <c:v>1.557290460947333</c:v>
                </c:pt>
                <c:pt idx="18">
                  <c:v>1.3763898194179769</c:v>
                </c:pt>
                <c:pt idx="19">
                  <c:v>1.5965158386711416</c:v>
                </c:pt>
                <c:pt idx="20">
                  <c:v>1.8333155449205736</c:v>
                </c:pt>
                <c:pt idx="21">
                  <c:v>2.0296045390029835</c:v>
                </c:pt>
                <c:pt idx="22">
                  <c:v>1.4264733073460838</c:v>
                </c:pt>
                <c:pt idx="23">
                  <c:v>1.3669830236287375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D6-4222-A576-E69B8BF0AC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4028664"/>
        <c:axId val="484020464"/>
      </c:lineChart>
      <c:catAx>
        <c:axId val="48402866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4020464"/>
        <c:crosses val="autoZero"/>
        <c:auto val="1"/>
        <c:lblAlgn val="ctr"/>
        <c:lblOffset val="100"/>
        <c:noMultiLvlLbl val="0"/>
      </c:catAx>
      <c:valAx>
        <c:axId val="484020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4028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Лист2!$AG$1:$AG$37</c:f>
              <c:numCache>
                <c:formatCode>0.00</c:formatCode>
                <c:ptCount val="37"/>
                <c:pt idx="0" formatCode="General">
                  <c:v>0</c:v>
                </c:pt>
                <c:pt idx="1">
                  <c:v>0.72417436213827957</c:v>
                </c:pt>
                <c:pt idx="2">
                  <c:v>0.71858997119974755</c:v>
                </c:pt>
                <c:pt idx="3">
                  <c:v>0.71122879794606031</c:v>
                </c:pt>
                <c:pt idx="4">
                  <c:v>1.1611018387082466</c:v>
                </c:pt>
                <c:pt idx="5">
                  <c:v>0.81056795861055675</c:v>
                </c:pt>
                <c:pt idx="6">
                  <c:v>0.67</c:v>
                </c:pt>
                <c:pt idx="7">
                  <c:v>0.73735172420677508</c:v>
                </c:pt>
                <c:pt idx="8">
                  <c:v>0.71000000000000008</c:v>
                </c:pt>
                <c:pt idx="9">
                  <c:v>0.71</c:v>
                </c:pt>
                <c:pt idx="10">
                  <c:v>0.79551111037004929</c:v>
                </c:pt>
                <c:pt idx="11">
                  <c:v>0.83663625177929513</c:v>
                </c:pt>
                <c:pt idx="12">
                  <c:v>1.2941259113335151</c:v>
                </c:pt>
                <c:pt idx="13">
                  <c:v>1.2978197800515425</c:v>
                </c:pt>
                <c:pt idx="14">
                  <c:v>0.76684104627766603</c:v>
                </c:pt>
                <c:pt idx="15">
                  <c:v>0.80494630438913162</c:v>
                </c:pt>
                <c:pt idx="16">
                  <c:v>1.0247738215673896</c:v>
                </c:pt>
                <c:pt idx="17">
                  <c:v>0.70456702959270834</c:v>
                </c:pt>
                <c:pt idx="18">
                  <c:v>0.84668459022093001</c:v>
                </c:pt>
                <c:pt idx="19">
                  <c:v>0.71199018055468</c:v>
                </c:pt>
                <c:pt idx="20">
                  <c:v>0.80898443840141232</c:v>
                </c:pt>
                <c:pt idx="21">
                  <c:v>0.76065649313657402</c:v>
                </c:pt>
                <c:pt idx="22">
                  <c:v>0.76707856601110491</c:v>
                </c:pt>
                <c:pt idx="23">
                  <c:v>0.97267924316957743</c:v>
                </c:pt>
                <c:pt idx="24">
                  <c:v>2.0175508159653486</c:v>
                </c:pt>
                <c:pt idx="25">
                  <c:v>0.78389675585298024</c:v>
                </c:pt>
                <c:pt idx="26">
                  <c:v>0.77595075783443734</c:v>
                </c:pt>
                <c:pt idx="27">
                  <c:v>0.76554164646939982</c:v>
                </c:pt>
                <c:pt idx="28">
                  <c:v>1.0417915769920814</c:v>
                </c:pt>
                <c:pt idx="29">
                  <c:v>0.75750922696263034</c:v>
                </c:pt>
                <c:pt idx="30">
                  <c:v>0.75521986330627933</c:v>
                </c:pt>
                <c:pt idx="31">
                  <c:v>0.74999786921729239</c:v>
                </c:pt>
                <c:pt idx="32">
                  <c:v>0.8667776063581113</c:v>
                </c:pt>
                <c:pt idx="33">
                  <c:v>0.87357810769311217</c:v>
                </c:pt>
                <c:pt idx="34">
                  <c:v>0.89983232904161192</c:v>
                </c:pt>
                <c:pt idx="35">
                  <c:v>1.0002131095582354</c:v>
                </c:pt>
                <c:pt idx="36">
                  <c:v>2.2015352424079695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23-4225-B6EB-C4355AB337D0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Лист2!$AH$1:$AH$37</c:f>
              <c:numCache>
                <c:formatCode>0.00</c:formatCode>
                <c:ptCount val="37"/>
                <c:pt idx="0" formatCode="General">
                  <c:v>0</c:v>
                </c:pt>
                <c:pt idx="1">
                  <c:v>0.85267921824622839</c:v>
                </c:pt>
                <c:pt idx="2">
                  <c:v>0.70023418945042804</c:v>
                </c:pt>
                <c:pt idx="3">
                  <c:v>0.54865305297690503</c:v>
                </c:pt>
                <c:pt idx="4">
                  <c:v>0.37498885463336729</c:v>
                </c:pt>
                <c:pt idx="5">
                  <c:v>0.37323654608639467</c:v>
                </c:pt>
                <c:pt idx="6">
                  <c:v>0.39076863559762165</c:v>
                </c:pt>
                <c:pt idx="7">
                  <c:v>0.3809852610143098</c:v>
                </c:pt>
                <c:pt idx="8">
                  <c:v>0.33386235825147537</c:v>
                </c:pt>
                <c:pt idx="9">
                  <c:v>0.41787238260438608</c:v>
                </c:pt>
                <c:pt idx="10">
                  <c:v>0.53425823412367579</c:v>
                </c:pt>
                <c:pt idx="11">
                  <c:v>0.46689169823156162</c:v>
                </c:pt>
                <c:pt idx="12">
                  <c:v>0.3964907613427493</c:v>
                </c:pt>
                <c:pt idx="13">
                  <c:v>0.56477418284810277</c:v>
                </c:pt>
                <c:pt idx="14">
                  <c:v>0.57164482547458662</c:v>
                </c:pt>
                <c:pt idx="15">
                  <c:v>0.51753498004940157</c:v>
                </c:pt>
                <c:pt idx="16">
                  <c:v>0.53054534598036007</c:v>
                </c:pt>
                <c:pt idx="17">
                  <c:v>0.49524772315266308</c:v>
                </c:pt>
                <c:pt idx="18">
                  <c:v>0.54654453364518474</c:v>
                </c:pt>
                <c:pt idx="19">
                  <c:v>0.53839811027593099</c:v>
                </c:pt>
                <c:pt idx="20">
                  <c:v>0.51809648048749224</c:v>
                </c:pt>
                <c:pt idx="21">
                  <c:v>0.57415574787542034</c:v>
                </c:pt>
                <c:pt idx="22">
                  <c:v>0.60422624383002721</c:v>
                </c:pt>
                <c:pt idx="23">
                  <c:v>0.73743640962933243</c:v>
                </c:pt>
                <c:pt idx="24">
                  <c:v>0.6765506680850456</c:v>
                </c:pt>
                <c:pt idx="25">
                  <c:v>0.53607300871322761</c:v>
                </c:pt>
                <c:pt idx="26">
                  <c:v>0.5933343108386594</c:v>
                </c:pt>
                <c:pt idx="27">
                  <c:v>0.64180519338072173</c:v>
                </c:pt>
                <c:pt idx="28">
                  <c:v>0.65068187497901897</c:v>
                </c:pt>
                <c:pt idx="29">
                  <c:v>0.4788055072670544</c:v>
                </c:pt>
                <c:pt idx="30">
                  <c:v>0.61985241349850484</c:v>
                </c:pt>
                <c:pt idx="31">
                  <c:v>0.69683436715753588</c:v>
                </c:pt>
                <c:pt idx="32">
                  <c:v>0.6495639551192145</c:v>
                </c:pt>
                <c:pt idx="33">
                  <c:v>0.58222169930166334</c:v>
                </c:pt>
                <c:pt idx="34">
                  <c:v>0.5718796872967935</c:v>
                </c:pt>
                <c:pt idx="35">
                  <c:v>0.78315438368776136</c:v>
                </c:pt>
                <c:pt idx="36">
                  <c:v>0.79511521696009135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23-4225-B6EB-C4355AB337D0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Лист2!$AI$1:$AI$37</c:f>
              <c:numCache>
                <c:formatCode>0.00</c:formatCode>
                <c:ptCount val="37"/>
                <c:pt idx="0" formatCode="General">
                  <c:v>0</c:v>
                </c:pt>
                <c:pt idx="1">
                  <c:v>0.196058492218286</c:v>
                </c:pt>
                <c:pt idx="2">
                  <c:v>0.14314601333491131</c:v>
                </c:pt>
                <c:pt idx="3">
                  <c:v>0.22440604533406242</c:v>
                </c:pt>
                <c:pt idx="4">
                  <c:v>0.20706438805837737</c:v>
                </c:pt>
                <c:pt idx="5">
                  <c:v>0.1997855501659434</c:v>
                </c:pt>
                <c:pt idx="6">
                  <c:v>0.22299785901281413</c:v>
                </c:pt>
                <c:pt idx="7">
                  <c:v>0.34091768029428049</c:v>
                </c:pt>
                <c:pt idx="8">
                  <c:v>0.16921781637900737</c:v>
                </c:pt>
                <c:pt idx="9">
                  <c:v>0.25189676619997514</c:v>
                </c:pt>
                <c:pt idx="10">
                  <c:v>0.23422772090127944</c:v>
                </c:pt>
                <c:pt idx="11">
                  <c:v>0.26762059398296695</c:v>
                </c:pt>
                <c:pt idx="12">
                  <c:v>0.28314048387522311</c:v>
                </c:pt>
                <c:pt idx="13">
                  <c:v>0.26906326282394777</c:v>
                </c:pt>
                <c:pt idx="14">
                  <c:v>0.24325251509054333</c:v>
                </c:pt>
                <c:pt idx="15">
                  <c:v>7.6095572867185976E-2</c:v>
                </c:pt>
                <c:pt idx="16">
                  <c:v>0.2359447237709843</c:v>
                </c:pt>
                <c:pt idx="17">
                  <c:v>9.4686142856627992E-2</c:v>
                </c:pt>
                <c:pt idx="18">
                  <c:v>0.11722348209488295</c:v>
                </c:pt>
                <c:pt idx="19">
                  <c:v>0.14214778116876606</c:v>
                </c:pt>
                <c:pt idx="20">
                  <c:v>0.17338482566168836</c:v>
                </c:pt>
                <c:pt idx="21">
                  <c:v>0.17027758051551786</c:v>
                </c:pt>
                <c:pt idx="22">
                  <c:v>0.17753294370064526</c:v>
                </c:pt>
                <c:pt idx="23">
                  <c:v>0.15087402339192207</c:v>
                </c:pt>
                <c:pt idx="24">
                  <c:v>0.1624536204437364</c:v>
                </c:pt>
                <c:pt idx="25">
                  <c:v>3.4957912769130267E-2</c:v>
                </c:pt>
                <c:pt idx="26">
                  <c:v>0.10436213760329081</c:v>
                </c:pt>
                <c:pt idx="27">
                  <c:v>8.1511946757056017E-2</c:v>
                </c:pt>
                <c:pt idx="28">
                  <c:v>9.5912368192346886E-2</c:v>
                </c:pt>
                <c:pt idx="29">
                  <c:v>1.62762494415013E-2</c:v>
                </c:pt>
                <c:pt idx="30">
                  <c:v>1.9981546347714745E-2</c:v>
                </c:pt>
                <c:pt idx="31">
                  <c:v>0.34590709787395235</c:v>
                </c:pt>
                <c:pt idx="32">
                  <c:v>9.9939364188873295E-2</c:v>
                </c:pt>
                <c:pt idx="33">
                  <c:v>2.2808844012797429E-3</c:v>
                </c:pt>
                <c:pt idx="34">
                  <c:v>0.11155980713745554</c:v>
                </c:pt>
                <c:pt idx="35">
                  <c:v>5.8471306176453844E-3</c:v>
                </c:pt>
                <c:pt idx="36">
                  <c:v>0.36691287246549287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623-4225-B6EB-C4355AB337D0}"/>
            </c:ext>
          </c:extLst>
        </c:ser>
        <c:ser>
          <c:idx val="3"/>
          <c:order val="3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Лист2!$AJ$1:$AJ$37</c:f>
              <c:numCache>
                <c:formatCode>0.00</c:formatCode>
                <c:ptCount val="37"/>
                <c:pt idx="0" formatCode="General">
                  <c:v>0</c:v>
                </c:pt>
                <c:pt idx="1">
                  <c:v>-0.32456334832623485</c:v>
                </c:pt>
                <c:pt idx="2">
                  <c:v>-0.12479023158559181</c:v>
                </c:pt>
                <c:pt idx="3">
                  <c:v>-6.1830300364907123E-2</c:v>
                </c:pt>
                <c:pt idx="4">
                  <c:v>0.57904859601650183</c:v>
                </c:pt>
                <c:pt idx="5">
                  <c:v>0.23754586235821867</c:v>
                </c:pt>
                <c:pt idx="6">
                  <c:v>5.6233505389564245E-2</c:v>
                </c:pt>
                <c:pt idx="7">
                  <c:v>1.5448782898184809E-2</c:v>
                </c:pt>
                <c:pt idx="8">
                  <c:v>0.20691982536951731</c:v>
                </c:pt>
                <c:pt idx="9">
                  <c:v>4.0230851195638788E-2</c:v>
                </c:pt>
                <c:pt idx="10">
                  <c:v>2.7025155345094056E-2</c:v>
                </c:pt>
                <c:pt idx="11">
                  <c:v>0.10212395956476658</c:v>
                </c:pt>
                <c:pt idx="12">
                  <c:v>0.6144946661155426</c:v>
                </c:pt>
                <c:pt idx="13">
                  <c:v>0.46398233437949188</c:v>
                </c:pt>
                <c:pt idx="14">
                  <c:v>-4.8056294287463934E-2</c:v>
                </c:pt>
                <c:pt idx="15">
                  <c:v>0.21131575147254414</c:v>
                </c:pt>
                <c:pt idx="16">
                  <c:v>0.25828375181604513</c:v>
                </c:pt>
                <c:pt idx="17">
                  <c:v>0.11463316358341728</c:v>
                </c:pt>
                <c:pt idx="18">
                  <c:v>0.18291657448086224</c:v>
                </c:pt>
                <c:pt idx="19">
                  <c:v>3.1444289109982933E-2</c:v>
                </c:pt>
                <c:pt idx="20">
                  <c:v>0.11750313225223169</c:v>
                </c:pt>
                <c:pt idx="21">
                  <c:v>1.6223164745635808E-2</c:v>
                </c:pt>
                <c:pt idx="22">
                  <c:v>-1.4680621519567545E-2</c:v>
                </c:pt>
                <c:pt idx="23">
                  <c:v>8.436881014832294E-2</c:v>
                </c:pt>
                <c:pt idx="24">
                  <c:v>1.1785465274365665</c:v>
                </c:pt>
                <c:pt idx="25">
                  <c:v>0.21286583437062234</c:v>
                </c:pt>
                <c:pt idx="26">
                  <c:v>7.8254309392487204E-2</c:v>
                </c:pt>
                <c:pt idx="27">
                  <c:v>4.2224506331622003E-2</c:v>
                </c:pt>
                <c:pt idx="28">
                  <c:v>0.29519733382071556</c:v>
                </c:pt>
                <c:pt idx="29">
                  <c:v>0.26242747025407465</c:v>
                </c:pt>
                <c:pt idx="30">
                  <c:v>0.11538590346005979</c:v>
                </c:pt>
                <c:pt idx="31">
                  <c:v>-0.29274359581419584</c:v>
                </c:pt>
                <c:pt idx="32">
                  <c:v>0.11727428705002352</c:v>
                </c:pt>
                <c:pt idx="33">
                  <c:v>0.289075523990169</c:v>
                </c:pt>
                <c:pt idx="34">
                  <c:v>0.21639283460736292</c:v>
                </c:pt>
                <c:pt idx="35">
                  <c:v>0.21121159525282873</c:v>
                </c:pt>
                <c:pt idx="36">
                  <c:v>1.0395071529823852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623-4225-B6EB-C4355AB33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5528880"/>
        <c:axId val="475527896"/>
      </c:lineChart>
      <c:catAx>
        <c:axId val="47552888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527896"/>
        <c:crosses val="autoZero"/>
        <c:auto val="1"/>
        <c:lblAlgn val="ctr"/>
        <c:lblOffset val="100"/>
        <c:noMultiLvlLbl val="0"/>
      </c:catAx>
      <c:valAx>
        <c:axId val="475527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528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Лист2!$AK$1</c:f>
              <c:strCache>
                <c:ptCount val="1"/>
                <c:pt idx="0">
                  <c:v>Печалба/приход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Лист2!$AK$2:$AK$37</c:f>
              <c:numCache>
                <c:formatCode>0.00</c:formatCode>
                <c:ptCount val="36"/>
                <c:pt idx="0">
                  <c:v>-0.44818398067544418</c:v>
                </c:pt>
                <c:pt idx="1">
                  <c:v>-0.17365985692403116</c:v>
                </c:pt>
                <c:pt idx="2">
                  <c:v>-8.693447248405195E-2</c:v>
                </c:pt>
                <c:pt idx="3">
                  <c:v>0.49870612267801351</c:v>
                </c:pt>
                <c:pt idx="4">
                  <c:v>0.29306100720463996</c:v>
                </c:pt>
                <c:pt idx="5">
                  <c:v>8.3930605059051117E-2</c:v>
                </c:pt>
                <c:pt idx="6">
                  <c:v>2.0951714617341174E-2</c:v>
                </c:pt>
                <c:pt idx="7">
                  <c:v>0.29143637375988352</c:v>
                </c:pt>
                <c:pt idx="8">
                  <c:v>5.6663170698082799E-2</c:v>
                </c:pt>
                <c:pt idx="9">
                  <c:v>3.3972065245603818E-2</c:v>
                </c:pt>
                <c:pt idx="10">
                  <c:v>0.12206494680044884</c:v>
                </c:pt>
                <c:pt idx="11">
                  <c:v>0.47483375515010334</c:v>
                </c:pt>
                <c:pt idx="12">
                  <c:v>0.35750906367066232</c:v>
                </c:pt>
                <c:pt idx="13">
                  <c:v>-6.2667869072390775E-2</c:v>
                </c:pt>
                <c:pt idx="14">
                  <c:v>0.26252154997209443</c:v>
                </c:pt>
                <c:pt idx="15">
                  <c:v>0.25203976368268333</c:v>
                </c:pt>
                <c:pt idx="16">
                  <c:v>0.16270015309924976</c:v>
                </c:pt>
                <c:pt idx="17">
                  <c:v>0.21603862476478147</c:v>
                </c:pt>
                <c:pt idx="18">
                  <c:v>4.4163936482222388E-2</c:v>
                </c:pt>
                <c:pt idx="19">
                  <c:v>0.14524770400333395</c:v>
                </c:pt>
                <c:pt idx="20">
                  <c:v>2.1327846264401738E-2</c:v>
                </c:pt>
                <c:pt idx="21">
                  <c:v>-1.9138354492041713E-2</c:v>
                </c:pt>
                <c:pt idx="22">
                  <c:v>8.673857362618155E-2</c:v>
                </c:pt>
                <c:pt idx="23">
                  <c:v>0.58414713429295262</c:v>
                </c:pt>
                <c:pt idx="24">
                  <c:v>0.27154830375461497</c:v>
                </c:pt>
                <c:pt idx="25">
                  <c:v>0.10084958175810445</c:v>
                </c:pt>
                <c:pt idx="26">
                  <c:v>5.5156380487406703E-2</c:v>
                </c:pt>
                <c:pt idx="27">
                  <c:v>0.28335546220581442</c:v>
                </c:pt>
                <c:pt idx="28">
                  <c:v>0.34643468477120054</c:v>
                </c:pt>
                <c:pt idx="29">
                  <c:v>0.15278451887495581</c:v>
                </c:pt>
                <c:pt idx="30">
                  <c:v>-0.39032590335184136</c:v>
                </c:pt>
                <c:pt idx="31">
                  <c:v>0.13529916577190776</c:v>
                </c:pt>
                <c:pt idx="32">
                  <c:v>0.33090976232627983</c:v>
                </c:pt>
                <c:pt idx="33">
                  <c:v>0.24048128481651387</c:v>
                </c:pt>
                <c:pt idx="34">
                  <c:v>0.21116659363334545</c:v>
                </c:pt>
                <c:pt idx="35">
                  <c:v>0.47217375082553992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DC-46FB-86DC-80DF159922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5511824"/>
        <c:axId val="475502968"/>
      </c:lineChart>
      <c:catAx>
        <c:axId val="47551182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502968"/>
        <c:crosses val="autoZero"/>
        <c:auto val="1"/>
        <c:lblAlgn val="ctr"/>
        <c:lblOffset val="100"/>
        <c:noMultiLvlLbl val="0"/>
      </c:catAx>
      <c:valAx>
        <c:axId val="475502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511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[1]Summary!$G$1</c:f>
              <c:strCache>
                <c:ptCount val="1"/>
                <c:pt idx="0">
                  <c:v>Общи приходи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[1]Summary!$G$2:$G$37</c:f>
              <c:numCache>
                <c:formatCode>General</c:formatCode>
                <c:ptCount val="36"/>
                <c:pt idx="0">
                  <c:v>72773.73</c:v>
                </c:pt>
                <c:pt idx="1">
                  <c:v>91070.5</c:v>
                </c:pt>
                <c:pt idx="2">
                  <c:v>119672.78</c:v>
                </c:pt>
                <c:pt idx="3">
                  <c:v>209397.75</c:v>
                </c:pt>
                <c:pt idx="4">
                  <c:v>155574.74</c:v>
                </c:pt>
                <c:pt idx="5">
                  <c:v>126427.66</c:v>
                </c:pt>
                <c:pt idx="6">
                  <c:v>147730.63</c:v>
                </c:pt>
                <c:pt idx="7">
                  <c:v>153521.88</c:v>
                </c:pt>
                <c:pt idx="8">
                  <c:v>143260.25</c:v>
                </c:pt>
                <c:pt idx="9">
                  <c:v>143129.95000000001</c:v>
                </c:pt>
                <c:pt idx="10">
                  <c:v>173388.68000000002</c:v>
                </c:pt>
                <c:pt idx="11">
                  <c:v>294302.34999999998</c:v>
                </c:pt>
                <c:pt idx="12">
                  <c:v>305177.13</c:v>
                </c:pt>
                <c:pt idx="13">
                  <c:v>175315.20000000001</c:v>
                </c:pt>
                <c:pt idx="14">
                  <c:v>211821.62</c:v>
                </c:pt>
                <c:pt idx="15">
                  <c:v>269447.88</c:v>
                </c:pt>
                <c:pt idx="16">
                  <c:v>195494.1</c:v>
                </c:pt>
                <c:pt idx="17">
                  <c:v>214306.03000000003</c:v>
                </c:pt>
                <c:pt idx="18">
                  <c:v>192001.68</c:v>
                </c:pt>
                <c:pt idx="19">
                  <c:v>227282.56</c:v>
                </c:pt>
                <c:pt idx="20">
                  <c:v>194945.61000000002</c:v>
                </c:pt>
                <c:pt idx="21">
                  <c:v>189128.59</c:v>
                </c:pt>
                <c:pt idx="22">
                  <c:v>208408.2</c:v>
                </c:pt>
                <c:pt idx="23">
                  <c:v>422937.16000000003</c:v>
                </c:pt>
                <c:pt idx="24">
                  <c:v>190818.5</c:v>
                </c:pt>
                <c:pt idx="25">
                  <c:v>193159.75</c:v>
                </c:pt>
                <c:pt idx="26">
                  <c:v>216364.27</c:v>
                </c:pt>
                <c:pt idx="27">
                  <c:v>279303.28000000003</c:v>
                </c:pt>
                <c:pt idx="28">
                  <c:v>201754.25</c:v>
                </c:pt>
                <c:pt idx="29">
                  <c:v>176796.97</c:v>
                </c:pt>
                <c:pt idx="30">
                  <c:v>158392.04999999999</c:v>
                </c:pt>
                <c:pt idx="31">
                  <c:v>185403.73</c:v>
                </c:pt>
                <c:pt idx="32">
                  <c:v>183763.27</c:v>
                </c:pt>
                <c:pt idx="33">
                  <c:v>186813.29</c:v>
                </c:pt>
                <c:pt idx="34">
                  <c:v>198813.36000000002</c:v>
                </c:pt>
                <c:pt idx="35">
                  <c:v>455050.73000000004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6B-4E2B-858A-7FC55C942C95}"/>
            </c:ext>
          </c:extLst>
        </c:ser>
        <c:ser>
          <c:idx val="1"/>
          <c:order val="1"/>
          <c:tx>
            <c:strRef>
              <c:f>[1]Summary!$F$1</c:f>
              <c:strCache>
                <c:ptCount val="1"/>
                <c:pt idx="0">
                  <c:v>Субсидия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[1]Summary!$F$2:$F$37</c:f>
              <c:numCache>
                <c:formatCode>General</c:formatCode>
                <c:ptCount val="36"/>
                <c:pt idx="0">
                  <c:v>2429.33</c:v>
                </c:pt>
                <c:pt idx="1">
                  <c:v>0</c:v>
                </c:pt>
                <c:pt idx="2">
                  <c:v>0</c:v>
                </c:pt>
                <c:pt idx="3">
                  <c:v>87679.55</c:v>
                </c:pt>
                <c:pt idx="4">
                  <c:v>12244.630000000001</c:v>
                </c:pt>
                <c:pt idx="5">
                  <c:v>0</c:v>
                </c:pt>
                <c:pt idx="6">
                  <c:v>5480</c:v>
                </c:pt>
                <c:pt idx="7">
                  <c:v>0</c:v>
                </c:pt>
                <c:pt idx="8">
                  <c:v>0</c:v>
                </c:pt>
                <c:pt idx="9">
                  <c:v>4236.17</c:v>
                </c:pt>
                <c:pt idx="10">
                  <c:v>16356.98</c:v>
                </c:pt>
                <c:pt idx="11">
                  <c:v>121467.70999999999</c:v>
                </c:pt>
                <c:pt idx="12">
                  <c:v>117079.12999999999</c:v>
                </c:pt>
                <c:pt idx="13">
                  <c:v>0</c:v>
                </c:pt>
                <c:pt idx="14">
                  <c:v>4057.62</c:v>
                </c:pt>
                <c:pt idx="15">
                  <c:v>77507.38</c:v>
                </c:pt>
                <c:pt idx="16">
                  <c:v>0</c:v>
                </c:pt>
                <c:pt idx="17">
                  <c:v>27349.89</c:v>
                </c:pt>
                <c:pt idx="18">
                  <c:v>0</c:v>
                </c:pt>
                <c:pt idx="19">
                  <c:v>25000</c:v>
                </c:pt>
                <c:pt idx="20">
                  <c:v>10419.689999999999</c:v>
                </c:pt>
                <c:pt idx="21">
                  <c:v>9000</c:v>
                </c:pt>
                <c:pt idx="22">
                  <c:v>24362.2</c:v>
                </c:pt>
                <c:pt idx="23">
                  <c:v>261816.16</c:v>
                </c:pt>
                <c:pt idx="24">
                  <c:v>3391.5</c:v>
                </c:pt>
                <c:pt idx="25">
                  <c:v>6460</c:v>
                </c:pt>
                <c:pt idx="26">
                  <c:v>4392.5200000000004</c:v>
                </c:pt>
                <c:pt idx="27">
                  <c:v>76229.03</c:v>
                </c:pt>
                <c:pt idx="28">
                  <c:v>0</c:v>
                </c:pt>
                <c:pt idx="29">
                  <c:v>1221.97</c:v>
                </c:pt>
                <c:pt idx="30">
                  <c:v>0</c:v>
                </c:pt>
                <c:pt idx="31">
                  <c:v>24978.73</c:v>
                </c:pt>
                <c:pt idx="32">
                  <c:v>4322.2700000000004</c:v>
                </c:pt>
                <c:pt idx="33">
                  <c:v>0</c:v>
                </c:pt>
                <c:pt idx="34">
                  <c:v>28523.34</c:v>
                </c:pt>
                <c:pt idx="35">
                  <c:v>279358.28000000003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6B-4E2B-858A-7FC55C942C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4932072"/>
        <c:axId val="434932400"/>
      </c:lineChart>
      <c:catAx>
        <c:axId val="43493207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4932400"/>
        <c:crosses val="autoZero"/>
        <c:auto val="1"/>
        <c:lblAlgn val="ctr"/>
        <c:lblOffset val="100"/>
        <c:noMultiLvlLbl val="0"/>
      </c:catAx>
      <c:valAx>
        <c:axId val="434932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49320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[2]Summary!$V$1</c:f>
              <c:strCache>
                <c:ptCount val="1"/>
                <c:pt idx="0">
                  <c:v>Печалба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[2]Summary!$W$2:$W$37</c:f>
              <c:numCache>
                <c:formatCode>General</c:formatCode>
                <c:ptCount val="36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</c:numCache>
            </c:numRef>
          </c:cat>
          <c:val>
            <c:numRef>
              <c:f>[2]Summary!$V$2:$V$37</c:f>
              <c:numCache>
                <c:formatCode>General</c:formatCode>
                <c:ptCount val="36"/>
                <c:pt idx="0">
                  <c:v>-32616.01999999999</c:v>
                </c:pt>
                <c:pt idx="1">
                  <c:v>-15815.289999999979</c:v>
                </c:pt>
                <c:pt idx="2">
                  <c:v>-10403.690000000002</c:v>
                </c:pt>
                <c:pt idx="3">
                  <c:v>104427.94</c:v>
                </c:pt>
                <c:pt idx="4">
                  <c:v>45592.889999999985</c:v>
                </c:pt>
                <c:pt idx="5">
                  <c:v>10611.149999999994</c:v>
                </c:pt>
                <c:pt idx="6">
                  <c:v>3095.210000000021</c:v>
                </c:pt>
                <c:pt idx="7">
                  <c:v>44741.859999999986</c:v>
                </c:pt>
                <c:pt idx="8">
                  <c:v>8117.5800000000163</c:v>
                </c:pt>
                <c:pt idx="9">
                  <c:v>4862.4200000000128</c:v>
                </c:pt>
                <c:pt idx="10">
                  <c:v>21164.680000000051</c:v>
                </c:pt>
                <c:pt idx="11">
                  <c:v>139744.69</c:v>
                </c:pt>
                <c:pt idx="12">
                  <c:v>109103.59</c:v>
                </c:pt>
                <c:pt idx="13">
                  <c:v>-10986.630000000005</c:v>
                </c:pt>
                <c:pt idx="14">
                  <c:v>55607.739999999991</c:v>
                </c:pt>
                <c:pt idx="15">
                  <c:v>67911.580000000016</c:v>
                </c:pt>
                <c:pt idx="16">
                  <c:v>31806.920000000042</c:v>
                </c:pt>
                <c:pt idx="17">
                  <c:v>46298.380000000005</c:v>
                </c:pt>
                <c:pt idx="18">
                  <c:v>8479.5499999999884</c:v>
                </c:pt>
                <c:pt idx="19">
                  <c:v>33012.26999999999</c:v>
                </c:pt>
                <c:pt idx="20">
                  <c:v>4157.7700000000186</c:v>
                </c:pt>
                <c:pt idx="21">
                  <c:v>-3619.6100000000151</c:v>
                </c:pt>
                <c:pt idx="22">
                  <c:v>18077.02999999997</c:v>
                </c:pt>
                <c:pt idx="23">
                  <c:v>247057.53</c:v>
                </c:pt>
                <c:pt idx="24">
                  <c:v>51816.44</c:v>
                </c:pt>
                <c:pt idx="25">
                  <c:v>19480.080000000016</c:v>
                </c:pt>
                <c:pt idx="26">
                  <c:v>11933.869999999995</c:v>
                </c:pt>
                <c:pt idx="27">
                  <c:v>79142.110000000015</c:v>
                </c:pt>
                <c:pt idx="28">
                  <c:v>69894.669999999984</c:v>
                </c:pt>
                <c:pt idx="29">
                  <c:v>27011.839999999997</c:v>
                </c:pt>
                <c:pt idx="30">
                  <c:v>-61824.520000000019</c:v>
                </c:pt>
                <c:pt idx="31">
                  <c:v>25084.97000000003</c:v>
                </c:pt>
                <c:pt idx="32">
                  <c:v>60809.059999999983</c:v>
                </c:pt>
                <c:pt idx="33">
                  <c:v>44925.100000000006</c:v>
                </c:pt>
                <c:pt idx="34">
                  <c:v>41982.74000000002</c:v>
                </c:pt>
                <c:pt idx="35">
                  <c:v>214863.01000000007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ED-4517-B0AB-80A2608FAD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4052528"/>
        <c:axId val="534058432"/>
      </c:lineChart>
      <c:catAx>
        <c:axId val="534052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4058432"/>
        <c:crosses val="autoZero"/>
        <c:auto val="1"/>
        <c:lblAlgn val="ctr"/>
        <c:lblOffset val="100"/>
        <c:noMultiLvlLbl val="1"/>
      </c:catAx>
      <c:valAx>
        <c:axId val="534058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40525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5" Type="http://schemas.openxmlformats.org/officeDocument/2006/relationships/chart" Target="../charts/chart23.xml"/><Relationship Id="rId4" Type="http://schemas.openxmlformats.org/officeDocument/2006/relationships/chart" Target="../charts/chart22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5.xml"/><Relationship Id="rId1" Type="http://schemas.openxmlformats.org/officeDocument/2006/relationships/chart" Target="../charts/chart2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22</xdr:col>
      <xdr:colOff>598715</xdr:colOff>
      <xdr:row>3</xdr:row>
      <xdr:rowOff>81643</xdr:rowOff>
    </xdr:to>
    <xdr:sp macro="" textlink="">
      <xdr:nvSpPr>
        <xdr:cNvPr id="2" name="Правоъгълник: със заоблени ъгли 1">
          <a:extLst>
            <a:ext uri="{FF2B5EF4-FFF2-40B4-BE49-F238E27FC236}">
              <a16:creationId xmlns:a16="http://schemas.microsoft.com/office/drawing/2014/main" id="{695C89E7-1E80-4782-81D5-C765D993F6BE}"/>
            </a:ext>
          </a:extLst>
        </xdr:cNvPr>
        <xdr:cNvSpPr/>
      </xdr:nvSpPr>
      <xdr:spPr>
        <a:xfrm>
          <a:off x="19050" y="0"/>
          <a:ext cx="14050736" cy="65314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bg-BG" sz="2400" b="1" i="0" u="sng">
              <a:latin typeface="Times New Roman" panose="02020603050405020304" pitchFamily="18" charset="0"/>
              <a:cs typeface="Times New Roman" panose="02020603050405020304" pitchFamily="18" charset="0"/>
            </a:rPr>
            <a:t>Измерване</a:t>
          </a:r>
          <a:r>
            <a:rPr lang="bg-BG" sz="2400" b="1" i="0" u="sng" baseline="0">
              <a:latin typeface="Times New Roman" panose="02020603050405020304" pitchFamily="18" charset="0"/>
              <a:cs typeface="Times New Roman" panose="02020603050405020304" pitchFamily="18" charset="0"/>
            </a:rPr>
            <a:t> на финансови показатели за управление на кравеферма</a:t>
          </a:r>
          <a:endParaRPr lang="bg-BG" sz="2400" b="1" i="0" u="sng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57149</xdr:colOff>
      <xdr:row>3</xdr:row>
      <xdr:rowOff>125185</xdr:rowOff>
    </xdr:from>
    <xdr:to>
      <xdr:col>6</xdr:col>
      <xdr:colOff>52917</xdr:colOff>
      <xdr:row>13</xdr:row>
      <xdr:rowOff>31750</xdr:rowOff>
    </xdr:to>
    <xdr:graphicFrame macro="">
      <xdr:nvGraphicFramePr>
        <xdr:cNvPr id="3" name="Диаграма 2">
          <a:extLst>
            <a:ext uri="{FF2B5EF4-FFF2-40B4-BE49-F238E27FC236}">
              <a16:creationId xmlns:a16="http://schemas.microsoft.com/office/drawing/2014/main" id="{610D9442-2BE3-41F5-B06A-415811D58E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19</xdr:col>
      <xdr:colOff>172962</xdr:colOff>
      <xdr:row>3</xdr:row>
      <xdr:rowOff>130327</xdr:rowOff>
    </xdr:from>
    <xdr:to>
      <xdr:col>22</xdr:col>
      <xdr:colOff>592668</xdr:colOff>
      <xdr:row>13</xdr:row>
      <xdr:rowOff>54429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Тримесечия">
              <a:extLst>
                <a:ext uri="{FF2B5EF4-FFF2-40B4-BE49-F238E27FC236}">
                  <a16:creationId xmlns:a16="http://schemas.microsoft.com/office/drawing/2014/main" id="{513081FD-F74D-484D-9F25-D2A391DB60E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Тримесечия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710118" y="701827"/>
              <a:ext cx="2241363" cy="182910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bg-BG" sz="1100"/>
                <a:t>Тази фигура представлява сегментатор. Сегментаторите се поддържат в Excel 2010 или по-нова версия.
Ако фигурата е променена в по-стара версия на Excel или ако работната книга е записана в Excel 2003 или по-стара версия, сегментаторът не може да се използва.</a:t>
              </a:r>
            </a:p>
          </xdr:txBody>
        </xdr:sp>
      </mc:Fallback>
    </mc:AlternateContent>
    <xdr:clientData/>
  </xdr:twoCellAnchor>
  <xdr:twoCellAnchor editAs="oneCell">
    <xdr:from>
      <xdr:col>16</xdr:col>
      <xdr:colOff>13608</xdr:colOff>
      <xdr:row>3</xdr:row>
      <xdr:rowOff>119743</xdr:rowOff>
    </xdr:from>
    <xdr:to>
      <xdr:col>19</xdr:col>
      <xdr:colOff>32658</xdr:colOff>
      <xdr:row>13</xdr:row>
      <xdr:rowOff>54428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Години">
              <a:extLst>
                <a:ext uri="{FF2B5EF4-FFF2-40B4-BE49-F238E27FC236}">
                  <a16:creationId xmlns:a16="http://schemas.microsoft.com/office/drawing/2014/main" id="{7CF5F2E4-97A3-4071-9B0F-7CE22C0ECF3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Години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729108" y="691243"/>
              <a:ext cx="1840706" cy="183968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bg-BG" sz="1100"/>
                <a:t>Тази фигура представлява сегментатор. Сегментаторите се поддържат в Excel 2010 или по-нова версия.
Ако фигурата е променена в по-стара версия на Excel или ако работната книга е записана в Excel 2003 или по-стара версия, сегментаторът не може да се използва.</a:t>
              </a:r>
            </a:p>
          </xdr:txBody>
        </xdr:sp>
      </mc:Fallback>
    </mc:AlternateContent>
    <xdr:clientData/>
  </xdr:twoCellAnchor>
  <xdr:twoCellAnchor>
    <xdr:from>
      <xdr:col>0</xdr:col>
      <xdr:colOff>14815</xdr:colOff>
      <xdr:row>13</xdr:row>
      <xdr:rowOff>41576</xdr:rowOff>
    </xdr:from>
    <xdr:to>
      <xdr:col>7</xdr:col>
      <xdr:colOff>202406</xdr:colOff>
      <xdr:row>26</xdr:row>
      <xdr:rowOff>7559</xdr:rowOff>
    </xdr:to>
    <xdr:graphicFrame macro="">
      <xdr:nvGraphicFramePr>
        <xdr:cNvPr id="7" name="Диаграма 6">
          <a:extLst>
            <a:ext uri="{FF2B5EF4-FFF2-40B4-BE49-F238E27FC236}">
              <a16:creationId xmlns:a16="http://schemas.microsoft.com/office/drawing/2014/main" id="{232FB20D-3806-46A7-A5BD-6220688F59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197114</xdr:colOff>
      <xdr:row>13</xdr:row>
      <xdr:rowOff>54240</xdr:rowOff>
    </xdr:from>
    <xdr:to>
      <xdr:col>14</xdr:col>
      <xdr:colOff>476249</xdr:colOff>
      <xdr:row>26</xdr:row>
      <xdr:rowOff>75406</xdr:rowOff>
    </xdr:to>
    <xdr:graphicFrame macro="">
      <xdr:nvGraphicFramePr>
        <xdr:cNvPr id="8" name="Диаграма 7">
          <a:extLst>
            <a:ext uri="{FF2B5EF4-FFF2-40B4-BE49-F238E27FC236}">
              <a16:creationId xmlns:a16="http://schemas.microsoft.com/office/drawing/2014/main" id="{4D05794E-757C-49BE-AB57-7F93750C0D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47625</xdr:colOff>
      <xdr:row>3</xdr:row>
      <xdr:rowOff>107157</xdr:rowOff>
    </xdr:from>
    <xdr:to>
      <xdr:col>14</xdr:col>
      <xdr:colOff>381000</xdr:colOff>
      <xdr:row>13</xdr:row>
      <xdr:rowOff>71437</xdr:rowOff>
    </xdr:to>
    <xdr:graphicFrame macro="">
      <xdr:nvGraphicFramePr>
        <xdr:cNvPr id="10" name="Диаграма 9">
          <a:extLst>
            <a:ext uri="{FF2B5EF4-FFF2-40B4-BE49-F238E27FC236}">
              <a16:creationId xmlns:a16="http://schemas.microsoft.com/office/drawing/2014/main" id="{380FB782-3DAC-4D31-9DAD-A7F574D79D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14</xdr:col>
      <xdr:colOff>476250</xdr:colOff>
      <xdr:row>13</xdr:row>
      <xdr:rowOff>83344</xdr:rowOff>
    </xdr:from>
    <xdr:to>
      <xdr:col>22</xdr:col>
      <xdr:colOff>514350</xdr:colOff>
      <xdr:row>26</xdr:row>
      <xdr:rowOff>95250</xdr:rowOff>
    </xdr:to>
    <xdr:graphicFrame macro="">
      <xdr:nvGraphicFramePr>
        <xdr:cNvPr id="12" name="Диаграма 11">
          <a:extLst>
            <a:ext uri="{FF2B5EF4-FFF2-40B4-BE49-F238E27FC236}">
              <a16:creationId xmlns:a16="http://schemas.microsoft.com/office/drawing/2014/main" id="{AC37DF7E-0996-424A-BAE6-F81B9895E5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26</xdr:row>
      <xdr:rowOff>47624</xdr:rowOff>
    </xdr:from>
    <xdr:to>
      <xdr:col>10</xdr:col>
      <xdr:colOff>190500</xdr:colOff>
      <xdr:row>40</xdr:row>
      <xdr:rowOff>64293</xdr:rowOff>
    </xdr:to>
    <xdr:graphicFrame macro="">
      <xdr:nvGraphicFramePr>
        <xdr:cNvPr id="13" name="Диаграма 12">
          <a:extLst>
            <a:ext uri="{FF2B5EF4-FFF2-40B4-BE49-F238E27FC236}">
              <a16:creationId xmlns:a16="http://schemas.microsoft.com/office/drawing/2014/main" id="{99020AFB-2804-42E2-9918-C76834D518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206375</xdr:colOff>
      <xdr:row>26</xdr:row>
      <xdr:rowOff>47625</xdr:rowOff>
    </xdr:from>
    <xdr:to>
      <xdr:col>22</xdr:col>
      <xdr:colOff>492125</xdr:colOff>
      <xdr:row>40</xdr:row>
      <xdr:rowOff>123825</xdr:rowOff>
    </xdr:to>
    <xdr:graphicFrame macro="">
      <xdr:nvGraphicFramePr>
        <xdr:cNvPr id="17" name="Диаграма 16">
          <a:extLst>
            <a:ext uri="{FF2B5EF4-FFF2-40B4-BE49-F238E27FC236}">
              <a16:creationId xmlns:a16="http://schemas.microsoft.com/office/drawing/2014/main" id="{4551CF86-3805-4707-A890-0BBA71ED5A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514350</xdr:colOff>
      <xdr:row>1</xdr:row>
      <xdr:rowOff>52387</xdr:rowOff>
    </xdr:from>
    <xdr:to>
      <xdr:col>13</xdr:col>
      <xdr:colOff>209550</xdr:colOff>
      <xdr:row>15</xdr:row>
      <xdr:rowOff>128587</xdr:rowOff>
    </xdr:to>
    <xdr:graphicFrame macro="">
      <xdr:nvGraphicFramePr>
        <xdr:cNvPr id="2" name="Диаграма 1">
          <a:extLst>
            <a:ext uri="{FF2B5EF4-FFF2-40B4-BE49-F238E27FC236}">
              <a16:creationId xmlns:a16="http://schemas.microsoft.com/office/drawing/2014/main" id="{DB77BB51-EBFC-4319-902E-5755CDCDE0A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333374</xdr:colOff>
      <xdr:row>35</xdr:row>
      <xdr:rowOff>42862</xdr:rowOff>
    </xdr:from>
    <xdr:to>
      <xdr:col>11</xdr:col>
      <xdr:colOff>219074</xdr:colOff>
      <xdr:row>49</xdr:row>
      <xdr:rowOff>119062</xdr:rowOff>
    </xdr:to>
    <xdr:graphicFrame macro="">
      <xdr:nvGraphicFramePr>
        <xdr:cNvPr id="2" name="Диаграма 1">
          <a:extLst>
            <a:ext uri="{FF2B5EF4-FFF2-40B4-BE49-F238E27FC236}">
              <a16:creationId xmlns:a16="http://schemas.microsoft.com/office/drawing/2014/main" id="{AFC37222-B97B-4D0F-AFB8-B578AC4D5C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266700</xdr:colOff>
      <xdr:row>3</xdr:row>
      <xdr:rowOff>109537</xdr:rowOff>
    </xdr:from>
    <xdr:to>
      <xdr:col>14</xdr:col>
      <xdr:colOff>66675</xdr:colOff>
      <xdr:row>17</xdr:row>
      <xdr:rowOff>185737</xdr:rowOff>
    </xdr:to>
    <xdr:graphicFrame macro="">
      <xdr:nvGraphicFramePr>
        <xdr:cNvPr id="2" name="Диаграма 1">
          <a:extLst>
            <a:ext uri="{FF2B5EF4-FFF2-40B4-BE49-F238E27FC236}">
              <a16:creationId xmlns:a16="http://schemas.microsoft.com/office/drawing/2014/main" id="{2C57FA3E-4B45-42EF-ABE9-DDCA800EA36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57150</xdr:colOff>
      <xdr:row>2</xdr:row>
      <xdr:rowOff>80962</xdr:rowOff>
    </xdr:from>
    <xdr:to>
      <xdr:col>24</xdr:col>
      <xdr:colOff>285750</xdr:colOff>
      <xdr:row>16</xdr:row>
      <xdr:rowOff>157162</xdr:rowOff>
    </xdr:to>
    <xdr:graphicFrame macro="">
      <xdr:nvGraphicFramePr>
        <xdr:cNvPr id="2" name="Диаграма 1">
          <a:extLst>
            <a:ext uri="{FF2B5EF4-FFF2-40B4-BE49-F238E27FC236}">
              <a16:creationId xmlns:a16="http://schemas.microsoft.com/office/drawing/2014/main" id="{79A909B1-6D14-4173-8C60-E66199B62C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285750</xdr:colOff>
      <xdr:row>3</xdr:row>
      <xdr:rowOff>61912</xdr:rowOff>
    </xdr:from>
    <xdr:to>
      <xdr:col>15</xdr:col>
      <xdr:colOff>304800</xdr:colOff>
      <xdr:row>17</xdr:row>
      <xdr:rowOff>138112</xdr:rowOff>
    </xdr:to>
    <xdr:graphicFrame macro="">
      <xdr:nvGraphicFramePr>
        <xdr:cNvPr id="2" name="Диаграма 1">
          <a:extLst>
            <a:ext uri="{FF2B5EF4-FFF2-40B4-BE49-F238E27FC236}">
              <a16:creationId xmlns:a16="http://schemas.microsoft.com/office/drawing/2014/main" id="{572D3842-2884-4F65-8DBB-9CFF98E7910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171450</xdr:colOff>
      <xdr:row>2</xdr:row>
      <xdr:rowOff>52387</xdr:rowOff>
    </xdr:from>
    <xdr:to>
      <xdr:col>10</xdr:col>
      <xdr:colOff>133350</xdr:colOff>
      <xdr:row>16</xdr:row>
      <xdr:rowOff>128587</xdr:rowOff>
    </xdr:to>
    <xdr:graphicFrame macro="">
      <xdr:nvGraphicFramePr>
        <xdr:cNvPr id="3" name="Диаграма 2">
          <a:extLst>
            <a:ext uri="{FF2B5EF4-FFF2-40B4-BE49-F238E27FC236}">
              <a16:creationId xmlns:a16="http://schemas.microsoft.com/office/drawing/2014/main" id="{3CE8FB50-3423-4939-9796-297289FA841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581025</xdr:colOff>
      <xdr:row>5</xdr:row>
      <xdr:rowOff>166687</xdr:rowOff>
    </xdr:from>
    <xdr:to>
      <xdr:col>14</xdr:col>
      <xdr:colOff>276225</xdr:colOff>
      <xdr:row>20</xdr:row>
      <xdr:rowOff>52387</xdr:rowOff>
    </xdr:to>
    <xdr:graphicFrame macro="">
      <xdr:nvGraphicFramePr>
        <xdr:cNvPr id="3" name="Диаграма 2">
          <a:extLst>
            <a:ext uri="{FF2B5EF4-FFF2-40B4-BE49-F238E27FC236}">
              <a16:creationId xmlns:a16="http://schemas.microsoft.com/office/drawing/2014/main" id="{D044A11F-63C2-4704-BEAE-C63013153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3</xdr:row>
      <xdr:rowOff>128587</xdr:rowOff>
    </xdr:from>
    <xdr:to>
      <xdr:col>11</xdr:col>
      <xdr:colOff>409575</xdr:colOff>
      <xdr:row>18</xdr:row>
      <xdr:rowOff>14287</xdr:rowOff>
    </xdr:to>
    <xdr:graphicFrame macro="">
      <xdr:nvGraphicFramePr>
        <xdr:cNvPr id="2" name="Диаграма 1">
          <a:extLst>
            <a:ext uri="{FF2B5EF4-FFF2-40B4-BE49-F238E27FC236}">
              <a16:creationId xmlns:a16="http://schemas.microsoft.com/office/drawing/2014/main" id="{E5EB8A1A-08EB-4998-9210-BA8388921C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762000</xdr:colOff>
      <xdr:row>22</xdr:row>
      <xdr:rowOff>128587</xdr:rowOff>
    </xdr:from>
    <xdr:to>
      <xdr:col>6</xdr:col>
      <xdr:colOff>609600</xdr:colOff>
      <xdr:row>38</xdr:row>
      <xdr:rowOff>14287</xdr:rowOff>
    </xdr:to>
    <xdr:graphicFrame macro="">
      <xdr:nvGraphicFramePr>
        <xdr:cNvPr id="2" name="Диаграма 1">
          <a:extLst>
            <a:ext uri="{FF2B5EF4-FFF2-40B4-BE49-F238E27FC236}">
              <a16:creationId xmlns:a16="http://schemas.microsoft.com/office/drawing/2014/main" id="{0C07FA82-ABCB-457F-A486-AC6D849749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133350</xdr:colOff>
      <xdr:row>22</xdr:row>
      <xdr:rowOff>157162</xdr:rowOff>
    </xdr:from>
    <xdr:to>
      <xdr:col>15</xdr:col>
      <xdr:colOff>438150</xdr:colOff>
      <xdr:row>38</xdr:row>
      <xdr:rowOff>42862</xdr:rowOff>
    </xdr:to>
    <xdr:graphicFrame macro="">
      <xdr:nvGraphicFramePr>
        <xdr:cNvPr id="3" name="Диаграма 2">
          <a:extLst>
            <a:ext uri="{FF2B5EF4-FFF2-40B4-BE49-F238E27FC236}">
              <a16:creationId xmlns:a16="http://schemas.microsoft.com/office/drawing/2014/main" id="{33322CA9-5910-4A69-BCBA-7F1C9E93DA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628650</xdr:colOff>
      <xdr:row>1</xdr:row>
      <xdr:rowOff>33337</xdr:rowOff>
    </xdr:from>
    <xdr:to>
      <xdr:col>28</xdr:col>
      <xdr:colOff>647700</xdr:colOff>
      <xdr:row>15</xdr:row>
      <xdr:rowOff>109537</xdr:rowOff>
    </xdr:to>
    <xdr:graphicFrame macro="">
      <xdr:nvGraphicFramePr>
        <xdr:cNvPr id="4" name="Диаграма 3">
          <a:extLst>
            <a:ext uri="{FF2B5EF4-FFF2-40B4-BE49-F238E27FC236}">
              <a16:creationId xmlns:a16="http://schemas.microsoft.com/office/drawing/2014/main" id="{2818801E-0308-4966-992D-DDC076E1DAC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762000</xdr:colOff>
      <xdr:row>22</xdr:row>
      <xdr:rowOff>128587</xdr:rowOff>
    </xdr:from>
    <xdr:to>
      <xdr:col>6</xdr:col>
      <xdr:colOff>609600</xdr:colOff>
      <xdr:row>37</xdr:row>
      <xdr:rowOff>14287</xdr:rowOff>
    </xdr:to>
    <xdr:graphicFrame macro="">
      <xdr:nvGraphicFramePr>
        <xdr:cNvPr id="2" name="Диаграма 1">
          <a:extLst>
            <a:ext uri="{FF2B5EF4-FFF2-40B4-BE49-F238E27FC236}">
              <a16:creationId xmlns:a16="http://schemas.microsoft.com/office/drawing/2014/main" id="{3AA23BE8-2F71-4CD6-A869-3802B8FC11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133350</xdr:colOff>
      <xdr:row>22</xdr:row>
      <xdr:rowOff>157162</xdr:rowOff>
    </xdr:from>
    <xdr:to>
      <xdr:col>15</xdr:col>
      <xdr:colOff>438150</xdr:colOff>
      <xdr:row>37</xdr:row>
      <xdr:rowOff>42862</xdr:rowOff>
    </xdr:to>
    <xdr:graphicFrame macro="">
      <xdr:nvGraphicFramePr>
        <xdr:cNvPr id="3" name="Диаграма 2">
          <a:extLst>
            <a:ext uri="{FF2B5EF4-FFF2-40B4-BE49-F238E27FC236}">
              <a16:creationId xmlns:a16="http://schemas.microsoft.com/office/drawing/2014/main" id="{776F77AB-FF7B-41DC-BF99-6FAAD046D3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247650</xdr:colOff>
      <xdr:row>20</xdr:row>
      <xdr:rowOff>128587</xdr:rowOff>
    </xdr:from>
    <xdr:to>
      <xdr:col>28</xdr:col>
      <xdr:colOff>1009650</xdr:colOff>
      <xdr:row>35</xdr:row>
      <xdr:rowOff>14287</xdr:rowOff>
    </xdr:to>
    <xdr:graphicFrame macro="">
      <xdr:nvGraphicFramePr>
        <xdr:cNvPr id="4" name="Диаграма 3">
          <a:extLst>
            <a:ext uri="{FF2B5EF4-FFF2-40B4-BE49-F238E27FC236}">
              <a16:creationId xmlns:a16="http://schemas.microsoft.com/office/drawing/2014/main" id="{A40732DE-EF3A-4A17-BE49-3E10E84825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24</xdr:col>
      <xdr:colOff>142875</xdr:colOff>
      <xdr:row>20</xdr:row>
      <xdr:rowOff>128587</xdr:rowOff>
    </xdr:from>
    <xdr:to>
      <xdr:col>31</xdr:col>
      <xdr:colOff>447675</xdr:colOff>
      <xdr:row>35</xdr:row>
      <xdr:rowOff>14287</xdr:rowOff>
    </xdr:to>
    <xdr:graphicFrame macro="">
      <xdr:nvGraphicFramePr>
        <xdr:cNvPr id="5" name="Диаграма 4">
          <a:extLst>
            <a:ext uri="{FF2B5EF4-FFF2-40B4-BE49-F238E27FC236}">
              <a16:creationId xmlns:a16="http://schemas.microsoft.com/office/drawing/2014/main" id="{384D0BE2-C008-49CB-8D10-7F597DEDF2C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542925</xdr:colOff>
      <xdr:row>19</xdr:row>
      <xdr:rowOff>128587</xdr:rowOff>
    </xdr:from>
    <xdr:to>
      <xdr:col>33</xdr:col>
      <xdr:colOff>428625</xdr:colOff>
      <xdr:row>34</xdr:row>
      <xdr:rowOff>14287</xdr:rowOff>
    </xdr:to>
    <xdr:graphicFrame macro="">
      <xdr:nvGraphicFramePr>
        <xdr:cNvPr id="6" name="Диаграма 5">
          <a:extLst>
            <a:ext uri="{FF2B5EF4-FFF2-40B4-BE49-F238E27FC236}">
              <a16:creationId xmlns:a16="http://schemas.microsoft.com/office/drawing/2014/main" id="{44F29201-33C4-4006-8010-CFE12FFD45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762000</xdr:colOff>
      <xdr:row>22</xdr:row>
      <xdr:rowOff>128587</xdr:rowOff>
    </xdr:from>
    <xdr:to>
      <xdr:col>6</xdr:col>
      <xdr:colOff>609600</xdr:colOff>
      <xdr:row>37</xdr:row>
      <xdr:rowOff>14287</xdr:rowOff>
    </xdr:to>
    <xdr:graphicFrame macro="">
      <xdr:nvGraphicFramePr>
        <xdr:cNvPr id="2" name="Диаграма 1">
          <a:extLst>
            <a:ext uri="{FF2B5EF4-FFF2-40B4-BE49-F238E27FC236}">
              <a16:creationId xmlns:a16="http://schemas.microsoft.com/office/drawing/2014/main" id="{F3AD2F04-E2C0-49EB-A2F6-74AB176734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133350</xdr:colOff>
      <xdr:row>22</xdr:row>
      <xdr:rowOff>157162</xdr:rowOff>
    </xdr:from>
    <xdr:to>
      <xdr:col>15</xdr:col>
      <xdr:colOff>438150</xdr:colOff>
      <xdr:row>37</xdr:row>
      <xdr:rowOff>42862</xdr:rowOff>
    </xdr:to>
    <xdr:graphicFrame macro="">
      <xdr:nvGraphicFramePr>
        <xdr:cNvPr id="3" name="Диаграма 2">
          <a:extLst>
            <a:ext uri="{FF2B5EF4-FFF2-40B4-BE49-F238E27FC236}">
              <a16:creationId xmlns:a16="http://schemas.microsoft.com/office/drawing/2014/main" id="{A81EFCDE-8E82-4C26-862D-BDF8537D4C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xcel\danni_STARA_ZAGORA_novi_danni%20(&#1055;&#1086;&#1087;&#1088;&#1072;&#1074;&#1077;&#1085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xcel\st.zagora_dashboar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риход_краве_мляко"/>
      <sheetName val="Приход_животно"/>
      <sheetName val="Приход_телета"/>
      <sheetName val="Субсидия"/>
      <sheetName val="Общи_проходи"/>
      <sheetName val="Общи разходи"/>
      <sheetName val="разход семенна течност"/>
      <sheetName val="приход-фураж"/>
      <sheetName val="Summary"/>
      <sheetName val="Норм_дист_общ приход"/>
      <sheetName val="Анализ_приходи"/>
      <sheetName val="Анализ_субсидия"/>
      <sheetName val="Relation_extrude_minus"/>
      <sheetName val="Correlation_extrudes"/>
      <sheetName val="Relation"/>
      <sheetName val="Лист4"/>
      <sheetName val="income-extrude_relation"/>
      <sheetName val="Лист14"/>
      <sheetName val="Лист1"/>
      <sheetName val="парето_разходи"/>
      <sheetName val="Лист5"/>
      <sheetName val="Corr2021"/>
      <sheetName val="Corr2020"/>
      <sheetName val="Corr2019"/>
      <sheetName val="Check_linear_regression"/>
      <sheetName val="Разходи_лекарства"/>
      <sheetName val="Разходи_ел.енергия"/>
      <sheetName val="Разход_застраховки"/>
      <sheetName val="Разход_запл_осигуровки"/>
      <sheetName val="Кредити"/>
      <sheetName val="Лихви_кредити"/>
      <sheetName val="Лизингови_договори"/>
      <sheetName val="Гориво"/>
      <sheetName val="Ремонт"/>
      <sheetName val="Фуражи"/>
      <sheetName val="Семенна течност уни марки"/>
      <sheetName val="Др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F1" t="str">
            <v>Субсидия</v>
          </cell>
          <cell r="G1" t="str">
            <v>Общи приходи</v>
          </cell>
        </row>
        <row r="2">
          <cell r="F2">
            <v>2429.33</v>
          </cell>
          <cell r="G2">
            <v>72773.73</v>
          </cell>
        </row>
        <row r="3">
          <cell r="F3">
            <v>0</v>
          </cell>
          <cell r="G3">
            <v>91070.5</v>
          </cell>
        </row>
        <row r="4">
          <cell r="F4">
            <v>0</v>
          </cell>
          <cell r="G4">
            <v>119672.78</v>
          </cell>
        </row>
        <row r="5">
          <cell r="F5">
            <v>87679.55</v>
          </cell>
          <cell r="G5">
            <v>209397.75</v>
          </cell>
        </row>
        <row r="6">
          <cell r="F6">
            <v>12244.630000000001</v>
          </cell>
          <cell r="G6">
            <v>155574.74</v>
          </cell>
        </row>
        <row r="7">
          <cell r="F7">
            <v>0</v>
          </cell>
          <cell r="G7">
            <v>126427.66</v>
          </cell>
        </row>
        <row r="8">
          <cell r="F8">
            <v>5480</v>
          </cell>
          <cell r="G8">
            <v>147730.63</v>
          </cell>
        </row>
        <row r="9">
          <cell r="F9">
            <v>0</v>
          </cell>
          <cell r="G9">
            <v>153521.88</v>
          </cell>
        </row>
        <row r="10">
          <cell r="F10">
            <v>0</v>
          </cell>
          <cell r="G10">
            <v>143260.25</v>
          </cell>
        </row>
        <row r="11">
          <cell r="F11">
            <v>4236.17</v>
          </cell>
          <cell r="G11">
            <v>143129.95000000001</v>
          </cell>
        </row>
        <row r="12">
          <cell r="F12">
            <v>16356.98</v>
          </cell>
          <cell r="G12">
            <v>173388.68000000002</v>
          </cell>
        </row>
        <row r="13">
          <cell r="F13">
            <v>121467.70999999999</v>
          </cell>
          <cell r="G13">
            <v>294302.34999999998</v>
          </cell>
        </row>
        <row r="14">
          <cell r="F14">
            <v>117079.12999999999</v>
          </cell>
          <cell r="G14">
            <v>305177.13</v>
          </cell>
        </row>
        <row r="15">
          <cell r="F15">
            <v>0</v>
          </cell>
          <cell r="G15">
            <v>175315.20000000001</v>
          </cell>
        </row>
        <row r="16">
          <cell r="F16">
            <v>4057.62</v>
          </cell>
          <cell r="G16">
            <v>211821.62</v>
          </cell>
        </row>
        <row r="17">
          <cell r="F17">
            <v>77507.38</v>
          </cell>
          <cell r="G17">
            <v>269447.88</v>
          </cell>
        </row>
        <row r="18">
          <cell r="F18">
            <v>0</v>
          </cell>
          <cell r="G18">
            <v>195494.1</v>
          </cell>
        </row>
        <row r="19">
          <cell r="F19">
            <v>27349.89</v>
          </cell>
          <cell r="G19">
            <v>214306.03000000003</v>
          </cell>
        </row>
        <row r="20">
          <cell r="F20">
            <v>0</v>
          </cell>
          <cell r="G20">
            <v>192001.68</v>
          </cell>
        </row>
        <row r="21">
          <cell r="F21">
            <v>25000</v>
          </cell>
          <cell r="G21">
            <v>227282.56</v>
          </cell>
        </row>
        <row r="22">
          <cell r="F22">
            <v>10419.689999999999</v>
          </cell>
          <cell r="G22">
            <v>194945.61000000002</v>
          </cell>
        </row>
        <row r="23">
          <cell r="F23">
            <v>9000</v>
          </cell>
          <cell r="G23">
            <v>189128.59</v>
          </cell>
        </row>
        <row r="24">
          <cell r="F24">
            <v>24362.2</v>
          </cell>
          <cell r="G24">
            <v>208408.2</v>
          </cell>
        </row>
        <row r="25">
          <cell r="F25">
            <v>261816.16</v>
          </cell>
          <cell r="G25">
            <v>422937.16000000003</v>
          </cell>
        </row>
        <row r="26">
          <cell r="F26">
            <v>3391.5</v>
          </cell>
          <cell r="G26">
            <v>190818.5</v>
          </cell>
        </row>
        <row r="27">
          <cell r="F27">
            <v>6460</v>
          </cell>
          <cell r="G27">
            <v>193159.75</v>
          </cell>
        </row>
        <row r="28">
          <cell r="F28">
            <v>4392.5200000000004</v>
          </cell>
          <cell r="G28">
            <v>216364.27</v>
          </cell>
        </row>
        <row r="29">
          <cell r="F29">
            <v>76229.03</v>
          </cell>
          <cell r="G29">
            <v>279303.28000000003</v>
          </cell>
        </row>
        <row r="30">
          <cell r="F30">
            <v>0</v>
          </cell>
          <cell r="G30">
            <v>201754.25</v>
          </cell>
        </row>
        <row r="31">
          <cell r="F31">
            <v>1221.97</v>
          </cell>
          <cell r="G31">
            <v>176796.97</v>
          </cell>
        </row>
        <row r="32">
          <cell r="F32">
            <v>0</v>
          </cell>
          <cell r="G32">
            <v>158392.04999999999</v>
          </cell>
        </row>
        <row r="33">
          <cell r="F33">
            <v>24978.73</v>
          </cell>
          <cell r="G33">
            <v>185403.73</v>
          </cell>
        </row>
        <row r="34">
          <cell r="F34">
            <v>4322.2700000000004</v>
          </cell>
          <cell r="G34">
            <v>183763.27</v>
          </cell>
        </row>
        <row r="35">
          <cell r="F35">
            <v>0</v>
          </cell>
          <cell r="G35">
            <v>186813.29</v>
          </cell>
        </row>
        <row r="36">
          <cell r="F36">
            <v>28523.34</v>
          </cell>
          <cell r="G36">
            <v>198813.36000000002</v>
          </cell>
        </row>
        <row r="37">
          <cell r="F37">
            <v>279358.28000000003</v>
          </cell>
          <cell r="G37">
            <v>455050.73000000004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shboard"/>
      <sheetName val="Лист15"/>
      <sheetName val="Лист8"/>
      <sheetName val="Лист7"/>
      <sheetName val="Лист2"/>
      <sheetName val="Лист5"/>
      <sheetName val="разходи_мляко"/>
      <sheetName val="Лист6"/>
      <sheetName val="Лист16"/>
      <sheetName val="Лист17"/>
      <sheetName val="Summary"/>
      <sheetName val="Приход мляко"/>
      <sheetName val="Приход животни"/>
      <sheetName val="Приход телета"/>
      <sheetName val="Субсидия"/>
      <sheetName val="Разход ел.енергия"/>
      <sheetName val="Разход лекарства"/>
      <sheetName val="Застраховки"/>
      <sheetName val="Заплати_осигуровки"/>
      <sheetName val="Кредити"/>
      <sheetName val="Лихви_кредити"/>
      <sheetName val="Лизингови договор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V1" t="str">
            <v>Печалба</v>
          </cell>
        </row>
        <row r="2">
          <cell r="V2">
            <v>-32616.01999999999</v>
          </cell>
          <cell r="W2">
            <v>43466</v>
          </cell>
        </row>
        <row r="3">
          <cell r="V3">
            <v>-15815.289999999979</v>
          </cell>
          <cell r="W3">
            <v>43497</v>
          </cell>
        </row>
        <row r="4">
          <cell r="V4">
            <v>-10403.690000000002</v>
          </cell>
          <cell r="W4">
            <v>43525</v>
          </cell>
        </row>
        <row r="5">
          <cell r="V5">
            <v>104427.94</v>
          </cell>
          <cell r="W5">
            <v>43556</v>
          </cell>
        </row>
        <row r="6">
          <cell r="V6">
            <v>45592.889999999985</v>
          </cell>
          <cell r="W6">
            <v>43586</v>
          </cell>
        </row>
        <row r="7">
          <cell r="V7">
            <v>10611.149999999994</v>
          </cell>
          <cell r="W7">
            <v>43617</v>
          </cell>
        </row>
        <row r="8">
          <cell r="V8">
            <v>3095.210000000021</v>
          </cell>
          <cell r="W8">
            <v>43647</v>
          </cell>
        </row>
        <row r="9">
          <cell r="V9">
            <v>44741.859999999986</v>
          </cell>
          <cell r="W9">
            <v>43678</v>
          </cell>
        </row>
        <row r="10">
          <cell r="V10">
            <v>8117.5800000000163</v>
          </cell>
          <cell r="W10">
            <v>43709</v>
          </cell>
        </row>
        <row r="11">
          <cell r="V11">
            <v>4862.4200000000128</v>
          </cell>
          <cell r="W11">
            <v>43739</v>
          </cell>
        </row>
        <row r="12">
          <cell r="V12">
            <v>21164.680000000051</v>
          </cell>
          <cell r="W12">
            <v>43770</v>
          </cell>
        </row>
        <row r="13">
          <cell r="V13">
            <v>139744.69</v>
          </cell>
          <cell r="W13">
            <v>43800</v>
          </cell>
        </row>
        <row r="14">
          <cell r="V14">
            <v>109103.59</v>
          </cell>
          <cell r="W14">
            <v>43831</v>
          </cell>
        </row>
        <row r="15">
          <cell r="V15">
            <v>-10986.630000000005</v>
          </cell>
          <cell r="W15">
            <v>43862</v>
          </cell>
        </row>
        <row r="16">
          <cell r="V16">
            <v>55607.739999999991</v>
          </cell>
          <cell r="W16">
            <v>43891</v>
          </cell>
        </row>
        <row r="17">
          <cell r="V17">
            <v>67911.580000000016</v>
          </cell>
          <cell r="W17">
            <v>43922</v>
          </cell>
        </row>
        <row r="18">
          <cell r="V18">
            <v>31806.920000000042</v>
          </cell>
          <cell r="W18">
            <v>43952</v>
          </cell>
        </row>
        <row r="19">
          <cell r="V19">
            <v>46298.380000000005</v>
          </cell>
          <cell r="W19">
            <v>43983</v>
          </cell>
        </row>
        <row r="20">
          <cell r="V20">
            <v>8479.5499999999884</v>
          </cell>
          <cell r="W20">
            <v>44013</v>
          </cell>
        </row>
        <row r="21">
          <cell r="V21">
            <v>33012.26999999999</v>
          </cell>
          <cell r="W21">
            <v>44044</v>
          </cell>
        </row>
        <row r="22">
          <cell r="V22">
            <v>4157.7700000000186</v>
          </cell>
          <cell r="W22">
            <v>44075</v>
          </cell>
        </row>
        <row r="23">
          <cell r="V23">
            <v>-3619.6100000000151</v>
          </cell>
          <cell r="W23">
            <v>44105</v>
          </cell>
        </row>
        <row r="24">
          <cell r="V24">
            <v>18077.02999999997</v>
          </cell>
          <cell r="W24">
            <v>44136</v>
          </cell>
        </row>
        <row r="25">
          <cell r="V25">
            <v>247057.53</v>
          </cell>
          <cell r="W25">
            <v>44166</v>
          </cell>
        </row>
        <row r="26">
          <cell r="V26">
            <v>51816.44</v>
          </cell>
          <cell r="W26">
            <v>44197</v>
          </cell>
        </row>
        <row r="27">
          <cell r="V27">
            <v>19480.080000000016</v>
          </cell>
          <cell r="W27">
            <v>44228</v>
          </cell>
        </row>
        <row r="28">
          <cell r="V28">
            <v>11933.869999999995</v>
          </cell>
          <cell r="W28">
            <v>44256</v>
          </cell>
        </row>
        <row r="29">
          <cell r="V29">
            <v>79142.110000000015</v>
          </cell>
          <cell r="W29">
            <v>44287</v>
          </cell>
        </row>
        <row r="30">
          <cell r="V30">
            <v>69894.669999999984</v>
          </cell>
          <cell r="W30">
            <v>44317</v>
          </cell>
        </row>
        <row r="31">
          <cell r="V31">
            <v>27011.839999999997</v>
          </cell>
          <cell r="W31">
            <v>44348</v>
          </cell>
        </row>
        <row r="32">
          <cell r="V32">
            <v>-61824.520000000019</v>
          </cell>
          <cell r="W32">
            <v>44378</v>
          </cell>
        </row>
        <row r="33">
          <cell r="V33">
            <v>25084.97000000003</v>
          </cell>
          <cell r="W33">
            <v>44409</v>
          </cell>
        </row>
        <row r="34">
          <cell r="V34">
            <v>60809.059999999983</v>
          </cell>
          <cell r="W34">
            <v>44440</v>
          </cell>
        </row>
        <row r="35">
          <cell r="V35">
            <v>44925.100000000006</v>
          </cell>
          <cell r="W35">
            <v>44470</v>
          </cell>
        </row>
        <row r="36">
          <cell r="V36">
            <v>41982.74000000002</v>
          </cell>
          <cell r="W36">
            <v>44501</v>
          </cell>
        </row>
        <row r="37">
          <cell r="V37">
            <v>214863.01000000007</v>
          </cell>
          <cell r="W37">
            <v>44531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tan" refreshedDate="44876.642050115741" createdVersion="6" refreshedVersion="6" minRefreshableVersion="3" recordCount="36" xr:uid="{00000000-000A-0000-FFFF-FFFF22000000}">
  <cacheSource type="worksheet">
    <worksheetSource name="Таблица1"/>
  </cacheSource>
  <cacheFields count="44">
    <cacheField name="Дата" numFmtId="14">
      <sharedItems containsSemiMixedTypes="0" containsNonDate="0" containsDate="1" containsString="0" minDate="2019-01-01T00:00:00" maxDate="2021-12-02T00:00:00" count="36">
        <d v="2019-01-01T00:00:00"/>
        <d v="2019-02-01T00:00:00"/>
        <d v="2019-03-01T00:00:00"/>
        <d v="2019-04-01T00:00:00"/>
        <d v="2019-05-01T00:00:00"/>
        <d v="2019-06-01T00:00:00"/>
        <d v="2019-07-01T00:00:00"/>
        <d v="2019-08-01T00:00:00"/>
        <d v="2019-09-01T00:00:00"/>
        <d v="2019-10-01T00:00:00"/>
        <d v="2019-11-01T00:00:00"/>
        <d v="2019-12-01T00:00:00"/>
        <d v="2020-01-01T00:00:00"/>
        <d v="2020-02-01T00:00:00"/>
        <d v="2020-03-01T00:00:00"/>
        <d v="2020-04-01T00:00:00"/>
        <d v="2020-05-01T00:00:00"/>
        <d v="2020-06-01T00:00:00"/>
        <d v="2020-07-01T00:00:00"/>
        <d v="2020-08-01T00:00:00"/>
        <d v="2020-09-01T00:00:00"/>
        <d v="2020-10-01T00:00:00"/>
        <d v="2020-11-01T00:00:00"/>
        <d v="2020-12-01T00:00:00"/>
        <d v="2021-01-01T00:00:00"/>
        <d v="2021-02-01T00:00:00"/>
        <d v="2021-03-01T00:00:00"/>
        <d v="2021-04-01T00:00:00"/>
        <d v="2021-05-01T00:00:00"/>
        <d v="2021-06-01T00:00:00"/>
        <d v="2021-07-01T00:00:00"/>
        <d v="2021-08-01T00:00:00"/>
        <d v="2021-09-01T00:00:00"/>
        <d v="2021-10-01T00:00:00"/>
        <d v="2021-11-01T00:00:00"/>
        <d v="2021-12-01T00:00:00"/>
      </sharedItems>
      <fieldGroup par="43" base="0">
        <rangePr groupBy="months" startDate="2019-01-01T00:00:00" endDate="2021-12-02T00:00:00"/>
        <groupItems count="14">
          <s v="&lt;1.1.2019"/>
          <s v="яну"/>
          <s v="фев"/>
          <s v="мар"/>
          <s v="апр"/>
          <s v="май"/>
          <s v="юни"/>
          <s v="юли"/>
          <s v="авг"/>
          <s v="сеп"/>
          <s v="окт"/>
          <s v="ное"/>
          <s v="дек"/>
          <s v="&gt;2.12.2021"/>
        </groupItems>
      </fieldGroup>
    </cacheField>
    <cacheField name="Приход мляко" numFmtId="0">
      <sharedItems containsSemiMixedTypes="0" containsString="0" containsNumber="1" minValue="70344.399999999994" maxValue="211971.75"/>
    </cacheField>
    <cacheField name="Приход животни" numFmtId="0">
      <sharedItems containsSemiMixedTypes="0" containsString="0" containsNumber="1" minValue="0" maxValue="21950"/>
    </cacheField>
    <cacheField name="Приходи телета" numFmtId="0">
      <sharedItems containsSemiMixedTypes="0" containsString="0" containsNumber="1" containsInteger="1" minValue="0" maxValue="2000"/>
    </cacheField>
    <cacheField name="Субсидия" numFmtId="0">
      <sharedItems containsSemiMixedTypes="0" containsString="0" containsNumber="1" minValue="0" maxValue="279358.28000000003"/>
    </cacheField>
    <cacheField name="Общи приходи" numFmtId="0">
      <sharedItems containsSemiMixedTypes="0" containsString="0" containsNumber="1" minValue="72773.73" maxValue="455050.73000000004"/>
    </cacheField>
    <cacheField name="Разходи лекарства" numFmtId="0">
      <sharedItems containsSemiMixedTypes="0" containsString="0" containsNumber="1" minValue="349.93" maxValue="8591.07"/>
    </cacheField>
    <cacheField name="Ел енергия" numFmtId="0">
      <sharedItems containsSemiMixedTypes="0" containsString="0" containsNumber="1" minValue="3417.36" maxValue="13688.63"/>
    </cacheField>
    <cacheField name="Застраховки" numFmtId="0">
      <sharedItems containsSemiMixedTypes="0" containsString="0" containsNumber="1" minValue="0" maxValue="5419.869999999999"/>
    </cacheField>
    <cacheField name="Заплати + осигуровки" numFmtId="0">
      <sharedItems containsSemiMixedTypes="0" containsString="0" containsNumber="1" minValue="2821.26" maxValue="9980.1200000000008"/>
    </cacheField>
    <cacheField name="Кредити" numFmtId="0">
      <sharedItems containsSemiMixedTypes="0" containsString="0" containsNumber="1" minValue="0" maxValue="63315"/>
    </cacheField>
    <cacheField name="Лихви кредити" numFmtId="0">
      <sharedItems containsSemiMixedTypes="0" containsString="0" containsNumber="1" minValue="112.01" maxValue="14829.17"/>
    </cacheField>
    <cacheField name="Лизингови договори" numFmtId="0">
      <sharedItems containsSemiMixedTypes="0" containsString="0" containsNumber="1" minValue="0" maxValue="31090.460000000003"/>
    </cacheField>
    <cacheField name="Гориво" numFmtId="0">
      <sharedItems containsSemiMixedTypes="0" containsString="0" containsNumber="1" minValue="3469.62" maxValue="10251.34"/>
    </cacheField>
    <cacheField name="Ремонт" numFmtId="0">
      <sharedItems containsSemiMixedTypes="0" containsString="0" containsNumber="1" minValue="159.32" maxValue="11637.07"/>
    </cacheField>
    <cacheField name="Фуражи" numFmtId="0">
      <sharedItems containsSemiMixedTypes="0" containsString="0" containsNumber="1" minValue="52766.18" maxValue="148100.22"/>
    </cacheField>
    <cacheField name="Семенна течност" numFmtId="0">
      <sharedItems containsSemiMixedTypes="0" containsString="0" containsNumber="1" minValue="0" maxValue="6822.2"/>
    </cacheField>
    <cacheField name="Ушни марки" numFmtId="0">
      <sharedItems containsSemiMixedTypes="0" containsString="0" containsNumber="1" minValue="0" maxValue="586.5"/>
    </cacheField>
    <cacheField name="Други" numFmtId="0">
      <sharedItems containsSemiMixedTypes="0" containsString="0" containsNumber="1" minValue="0" maxValue="7654.31"/>
    </cacheField>
    <cacheField name="Общи разходи" numFmtId="0">
      <sharedItems containsSemiMixedTypes="0" containsString="0" containsNumber="1" minValue="104969.81" maxValue="240187.71999999997"/>
    </cacheField>
    <cacheField name="Печалба на месец" numFmtId="0">
      <sharedItems containsSemiMixedTypes="0" containsString="0" containsNumber="1" minValue="-61824.520000000019" maxValue="247057.53"/>
    </cacheField>
    <cacheField name="Производствени разходи" numFmtId="0">
      <sharedItems containsSemiMixedTypes="0" containsString="0" containsNumber="1" minValue="67626.989999999991" maxValue="181392.76"/>
    </cacheField>
    <cacheField name="Литри" numFmtId="0">
      <sharedItems containsSemiMixedTypes="0" containsString="0" containsNumber="1" containsInteger="1" minValue="100492" maxValue="282629"/>
    </cacheField>
    <cacheField name="Произ. разходи/литър" numFmtId="2">
      <sharedItems containsSemiMixedTypes="0" containsString="0" containsNumber="1" minValue="0.33386235825147537" maxValue="0.85267921824622839"/>
    </cacheField>
    <cacheField name="Нисък" numFmtId="0">
      <sharedItems containsSemiMixedTypes="0" containsString="0" containsNumber="1" minValue="0.47" maxValue="0.47"/>
    </cacheField>
    <cacheField name="Среден" numFmtId="0">
      <sharedItems containsSemiMixedTypes="0" containsString="0" containsNumber="1" minValue="0.18" maxValue="0.18"/>
    </cacheField>
    <cacheField name="Висок" numFmtId="0">
      <sharedItems containsSemiMixedTypes="0" containsString="0" containsNumber="1" minValue="0.2" maxValue="0.2"/>
    </cacheField>
    <cacheField name="Мляко/Фураж" numFmtId="2">
      <sharedItems containsSemiMixedTypes="0" containsString="0" containsNumber="1" minValue="0.98733458372919924" maxValue="2.7107345149509694"/>
    </cacheField>
    <cacheField name="Намален" numFmtId="0">
      <sharedItems containsSemiMixedTypes="0" containsString="0" containsNumber="1" minValue="1.43" maxValue="1.43"/>
    </cacheField>
    <cacheField name="Устойчив" numFmtId="0">
      <sharedItems containsSemiMixedTypes="0" containsString="0" containsNumber="1" minValue="0.65" maxValue="0.65"/>
    </cacheField>
    <cacheField name="Повишен" numFmtId="0">
      <sharedItems containsSemiMixedTypes="0" containsString="0" containsNumber="1" minValue="0.64" maxValue="0.64"/>
    </cacheField>
    <cacheField name="Печалба/приход" numFmtId="2">
      <sharedItems containsSemiMixedTypes="0" containsString="0" containsNumber="1" minValue="-0.44818398067544418" maxValue="0.58414713429295262"/>
    </cacheField>
    <cacheField name="Загуби" numFmtId="2">
      <sharedItems containsSemiMixedTypes="0" containsString="0" containsNumber="1" minValue="-0.45" maxValue="-0.45"/>
    </cacheField>
    <cacheField name="Ниска" numFmtId="0">
      <sharedItems containsSemiMixedTypes="0" containsString="0" containsNumber="1" minValue="0.02" maxValue="0.02"/>
    </cacheField>
    <cacheField name="Средна" numFmtId="0">
      <sharedItems containsSemiMixedTypes="0" containsString="0" containsNumber="1" minValue="0.27" maxValue="0.27"/>
    </cacheField>
    <cacheField name="Висока" numFmtId="0">
      <sharedItems containsSemiMixedTypes="0" containsString="0" containsNumber="1" minValue="0.28999999999999998" maxValue="0.28999999999999998"/>
    </cacheField>
    <cacheField name="Печалба/литър" numFmtId="2">
      <sharedItems containsSemiMixedTypes="0" containsString="0" containsNumber="1" minValue="-0.32456334832623485" maxValue="1.1785465274365665"/>
    </cacheField>
    <cacheField name="Загуби_литър" numFmtId="0">
      <sharedItems containsSemiMixedTypes="0" containsString="0" containsNumber="1" minValue="-0.32456334832623485" maxValue="-0.32456334832623485"/>
    </cacheField>
    <cacheField name="Ниски" numFmtId="0">
      <sharedItems containsSemiMixedTypes="0" containsString="0" containsNumber="1" minValue="-0.30834018358059906" maxValue="-0.30834018358059906"/>
    </cacheField>
    <cacheField name="Средни" numFmtId="0">
      <sharedItems containsSemiMixedTypes="0" containsString="0" containsNumber="1" minValue="0.27865063499971043" maxValue="0.27865063499971043"/>
    </cacheField>
    <cacheField name="Високи" numFmtId="0">
      <sharedItems containsSemiMixedTypes="0" containsString="0" containsNumber="1" minValue="0.91611905718249187" maxValue="0.91611905718249187"/>
    </cacheField>
    <cacheField name="СР. ЦЕНА" numFmtId="164">
      <sharedItems containsSemiMixedTypes="0" containsString="0" containsNumber="1" minValue="0.67" maxValue="0.85000000000000009"/>
    </cacheField>
    <cacheField name="Тримесечия" numFmtId="0" databaseField="0">
      <fieldGroup base="0">
        <rangePr groupBy="quarters" startDate="2019-01-01T00:00:00" endDate="2021-12-02T00:00:00"/>
        <groupItems count="6">
          <s v="&lt;1.1.2019"/>
          <s v="Трим.1"/>
          <s v="Трим.2"/>
          <s v="Трим.3"/>
          <s v="Трим.4"/>
          <s v="&gt;2.12.2021"/>
        </groupItems>
      </fieldGroup>
    </cacheField>
    <cacheField name="Години" numFmtId="0" databaseField="0">
      <fieldGroup base="0">
        <rangePr groupBy="years" startDate="2019-01-01T00:00:00" endDate="2021-12-02T00:00:00"/>
        <groupItems count="5">
          <s v="&lt;1.1.2019"/>
          <s v="2019"/>
          <s v="2020"/>
          <s v="2021"/>
          <s v="&gt;2.12.2021"/>
        </groupItems>
      </fieldGroup>
    </cacheField>
  </cacheFields>
  <extLst>
    <ext xmlns:x14="http://schemas.microsoft.com/office/spreadsheetml/2009/9/main" uri="{725AE2AE-9491-48be-B2B4-4EB974FC3084}">
      <x14:pivotCacheDefinition pivotCacheId="503215050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x v="0"/>
    <n v="70344.399999999994"/>
    <n v="0"/>
    <n v="0"/>
    <n v="2429.33"/>
    <n v="72773.73"/>
    <n v="966.23"/>
    <n v="4380.63"/>
    <n v="0"/>
    <n v="2973.52"/>
    <n v="7690.23"/>
    <n v="5572.0400000000009"/>
    <n v="6440.0400000000009"/>
    <n v="3782.54"/>
    <n v="1105.95"/>
    <n v="71246.76999999999"/>
    <n v="1189.8"/>
    <n v="42"/>
    <n v="0"/>
    <n v="105389.74999999999"/>
    <n v="-32616.01999999999"/>
    <n v="85687.439999999988"/>
    <n v="100492"/>
    <n v="0.85267921824622839"/>
    <n v="0.47"/>
    <n v="0.18"/>
    <n v="0.2"/>
    <n v="0.98733458372919924"/>
    <n v="1.43"/>
    <n v="0.65"/>
    <n v="0.64"/>
    <n v="-0.44818398067544418"/>
    <n v="-0.45"/>
    <n v="0.02"/>
    <n v="0.27"/>
    <n v="0.28999999999999998"/>
    <n v="-0.32456334832623485"/>
    <n v="-0.32456334832623485"/>
    <n v="-0.30834018358059906"/>
    <n v="0.27865063499971043"/>
    <n v="0.91611905718249187"/>
    <n v="0.7"/>
  </r>
  <r>
    <x v="1"/>
    <n v="88714.5"/>
    <n v="2356"/>
    <n v="0"/>
    <n v="0"/>
    <n v="91070.5"/>
    <n v="1349.9099999999999"/>
    <n v="3967.65"/>
    <n v="0"/>
    <n v="3550.95"/>
    <n v="6000"/>
    <n v="10427.81"/>
    <n v="1713.8"/>
    <n v="3697.19"/>
    <n v="3078.37"/>
    <n v="71556.709999999992"/>
    <n v="1333.4"/>
    <n v="0"/>
    <n v="210"/>
    <n v="106885.78999999998"/>
    <n v="-15815.289999999979"/>
    <n v="88744.18"/>
    <n v="126735"/>
    <n v="0.70023418945042804"/>
    <n v="0.47"/>
    <n v="0.18"/>
    <n v="0.2"/>
    <n v="1.2397789110203643"/>
    <n v="1.43"/>
    <n v="0.65"/>
    <n v="0.64"/>
    <n v="-0.17365985692403116"/>
    <n v="-0.45"/>
    <n v="0.02"/>
    <n v="0.27"/>
    <n v="0.28999999999999998"/>
    <n v="-0.12479023158559181"/>
    <n v="-0.32456334832623485"/>
    <n v="-0.30834018358059906"/>
    <n v="0.27865063499971043"/>
    <n v="0.91611905718249187"/>
    <n v="0.7"/>
  </r>
  <r>
    <x v="2"/>
    <n v="116100.78"/>
    <n v="3572"/>
    <n v="0"/>
    <n v="0"/>
    <n v="119672.78"/>
    <n v="947.92"/>
    <n v="3735.31"/>
    <n v="486.02"/>
    <n v="3550.95"/>
    <n v="25195.23"/>
    <n v="10360.36"/>
    <n v="1717.4"/>
    <n v="3788.98"/>
    <n v="159.32"/>
    <n v="78908.08"/>
    <n v="1082.4000000000001"/>
    <n v="144.5"/>
    <n v="0"/>
    <n v="130076.47"/>
    <n v="-10403.690000000002"/>
    <n v="92317.459999999992"/>
    <n v="168262"/>
    <n v="0.54865305297690503"/>
    <n v="0.47"/>
    <n v="0.18"/>
    <n v="0.2"/>
    <n v="1.4713420982996925"/>
    <n v="1.43"/>
    <n v="0.65"/>
    <n v="0.64"/>
    <n v="-8.693447248405195E-2"/>
    <n v="-0.45"/>
    <n v="0.02"/>
    <n v="0.27"/>
    <n v="0.28999999999999998"/>
    <n v="-6.1830300364907123E-2"/>
    <n v="-0.32456334832623485"/>
    <n v="-0.30834018358059906"/>
    <n v="0.27865063499971043"/>
    <n v="0.91611905718249187"/>
    <n v="0.69"/>
  </r>
  <r>
    <x v="3"/>
    <n v="121718.2"/>
    <n v="0"/>
    <n v="0"/>
    <n v="87679.55"/>
    <n v="209397.75"/>
    <n v="700.39"/>
    <n v="3744.47"/>
    <n v="30.4"/>
    <n v="3550.95"/>
    <n v="25195.23"/>
    <n v="10391.799999999997"/>
    <n v="1725.3899999999999"/>
    <n v="3788.98"/>
    <n v="2165.62"/>
    <n v="52766.18"/>
    <n v="910.4"/>
    <n v="0"/>
    <n v="0"/>
    <n v="104969.81"/>
    <n v="104427.94"/>
    <n v="67626.989999999991"/>
    <n v="180344"/>
    <n v="0.37498885463336729"/>
    <n v="0.47"/>
    <n v="0.18"/>
    <n v="0.2"/>
    <n v="2.3067464804160545"/>
    <n v="1.43"/>
    <n v="0.65"/>
    <n v="0.64"/>
    <n v="0.49870612267801351"/>
    <n v="-0.45"/>
    <n v="0.02"/>
    <n v="0.27"/>
    <n v="0.28999999999999998"/>
    <n v="0.57904859601650183"/>
    <n v="-0.32456334832623485"/>
    <n v="-0.30834018358059906"/>
    <n v="0.27865063499971043"/>
    <n v="0.91611905718249187"/>
    <n v="0.67492237058066806"/>
  </r>
  <r>
    <x v="4"/>
    <n v="128595.11"/>
    <n v="14735"/>
    <n v="0"/>
    <n v="12244.630000000001"/>
    <n v="155574.74"/>
    <n v="1158.0700000000002"/>
    <n v="3546.18"/>
    <n v="863.03"/>
    <n v="3727.46"/>
    <n v="25195.23"/>
    <n v="10553.77"/>
    <n v="1733.41"/>
    <n v="3870.52"/>
    <n v="2517.71"/>
    <n v="55658.07"/>
    <n v="1158.4000000000001"/>
    <n v="0"/>
    <n v="0"/>
    <n v="109981.85"/>
    <n v="45592.889999999985"/>
    <n v="71636.409999999989"/>
    <n v="191933"/>
    <n v="0.37323654608639467"/>
    <n v="0.47"/>
    <n v="0.18"/>
    <n v="0.2"/>
    <n v="2.3104486016133867"/>
    <n v="1.43"/>
    <n v="0.65"/>
    <n v="0.64"/>
    <n v="0.29306100720463996"/>
    <n v="-0.45"/>
    <n v="0.02"/>
    <n v="0.27"/>
    <n v="0.28999999999999998"/>
    <n v="0.23754586235821867"/>
    <n v="-0.32456334832623485"/>
    <n v="-0.30834018358059906"/>
    <n v="0.27865063499971043"/>
    <n v="0.91611905718249187"/>
    <n v="0.67"/>
  </r>
  <r>
    <x v="5"/>
    <n v="126427.66"/>
    <n v="0"/>
    <n v="0"/>
    <n v="0"/>
    <n v="126427.66"/>
    <n v="909.38"/>
    <n v="3417.36"/>
    <n v="309.67"/>
    <n v="4236.05"/>
    <n v="25195.23"/>
    <n v="14829.17"/>
    <n v="1745.18"/>
    <n v="3778.22"/>
    <n v="2479.67"/>
    <n v="57326.180000000008"/>
    <n v="1590.4"/>
    <n v="0"/>
    <n v="0"/>
    <n v="115816.51000000001"/>
    <n v="10611.149999999994"/>
    <n v="73737.260000000009"/>
    <n v="188698"/>
    <n v="0.39076863559762165"/>
    <n v="0.47"/>
    <n v="0.18"/>
    <n v="0.2"/>
    <n v="2.2054087678613854"/>
    <n v="1.43"/>
    <n v="0.65"/>
    <n v="0.64"/>
    <n v="8.3930605059051117E-2"/>
    <n v="-0.45"/>
    <n v="0.02"/>
    <n v="0.27"/>
    <n v="0.28999999999999998"/>
    <n v="5.6233505389564245E-2"/>
    <n v="-0.32456334832623485"/>
    <n v="-0.30834018358059906"/>
    <n v="0.27865063499971043"/>
    <n v="0.91611905718249187"/>
    <n v="0.67"/>
  </r>
  <r>
    <x v="6"/>
    <n v="142250.63"/>
    <n v="0"/>
    <n v="0"/>
    <n v="5480"/>
    <n v="147730.63"/>
    <n v="349.93"/>
    <n v="4218.97"/>
    <n v="793.11999999999989"/>
    <n v="4737.6099999999997"/>
    <n v="25195.23"/>
    <n v="11225.07"/>
    <n v="31090.460000000003"/>
    <n v="3730.57"/>
    <n v="1471.4099999999999"/>
    <n v="59680.429999999993"/>
    <n v="970.6"/>
    <n v="0"/>
    <n v="1172.02"/>
    <n v="144635.41999999998"/>
    <n v="3095.210000000021"/>
    <n v="76331.540000000008"/>
    <n v="200353"/>
    <n v="0.3809852610143098"/>
    <n v="0.47"/>
    <n v="0.18"/>
    <n v="0.2"/>
    <n v="2.3835389590859184"/>
    <n v="1.43"/>
    <n v="0.65"/>
    <n v="0.64"/>
    <n v="2.0951714617341174E-2"/>
    <n v="-0.45"/>
    <n v="0.02"/>
    <n v="0.27"/>
    <n v="0.28999999999999998"/>
    <n v="1.5448782898184809E-2"/>
    <n v="-0.32456334832623485"/>
    <n v="-0.30834018358059906"/>
    <n v="0.27865063499971043"/>
    <n v="0.91611905718249187"/>
    <n v="0.71000000000000008"/>
  </r>
  <r>
    <x v="7"/>
    <n v="153521.88"/>
    <n v="0"/>
    <n v="0"/>
    <n v="0"/>
    <n v="153521.88"/>
    <n v="774.18"/>
    <n v="4514.63"/>
    <n v="1436.93"/>
    <n v="3970.4300000000003"/>
    <n v="25195.23"/>
    <n v="5405.44"/>
    <n v="4552.0300000000007"/>
    <n v="3698.54"/>
    <n v="1642.2199999999998"/>
    <n v="56634.79"/>
    <n v="797.6"/>
    <n v="0"/>
    <n v="158"/>
    <n v="108780.02000000002"/>
    <n v="44741.859999999986"/>
    <n v="72190.390000000014"/>
    <n v="216228"/>
    <n v="0.33386235825147537"/>
    <n v="0.47"/>
    <n v="0.18"/>
    <n v="0.2"/>
    <n v="2.7107345149509694"/>
    <n v="1.43"/>
    <n v="0.65"/>
    <n v="0.64"/>
    <n v="0.29143637375988352"/>
    <n v="-0.45"/>
    <n v="0.02"/>
    <n v="0.27"/>
    <n v="0.28999999999999998"/>
    <n v="0.20691982536951731"/>
    <n v="-0.32456334832623485"/>
    <n v="-0.30834018358059906"/>
    <n v="0.27865063499971043"/>
    <n v="0.91611905718249187"/>
    <n v="0.71000000000000008"/>
  </r>
  <r>
    <x v="8"/>
    <n v="143260.25"/>
    <n v="0"/>
    <n v="0"/>
    <n v="0"/>
    <n v="143260.25"/>
    <n v="1174.77"/>
    <n v="4235.33"/>
    <n v="4882.1299999999992"/>
    <n v="2821.26"/>
    <n v="25195.23"/>
    <n v="11455.25"/>
    <n v="9293.86"/>
    <n v="3875.1"/>
    <n v="2150.3200000000002"/>
    <n v="69044.42"/>
    <n v="790"/>
    <n v="225"/>
    <n v="0"/>
    <n v="135142.66999999998"/>
    <n v="8117.5800000000163"/>
    <n v="84316.2"/>
    <n v="201775"/>
    <n v="0.41787238260438608"/>
    <n v="0.47"/>
    <n v="0.18"/>
    <n v="0.2"/>
    <n v="2.0748997529416568"/>
    <n v="1.43"/>
    <n v="0.65"/>
    <n v="0.64"/>
    <n v="5.6663170698082799E-2"/>
    <n v="-0.45"/>
    <n v="0.02"/>
    <n v="0.27"/>
    <n v="0.28999999999999998"/>
    <n v="4.0230851195638788E-2"/>
    <n v="-0.32456334832623485"/>
    <n v="-0.30834018358059906"/>
    <n v="0.27865063499971043"/>
    <n v="0.91611905718249187"/>
    <n v="0.71"/>
  </r>
  <r>
    <x v="9"/>
    <n v="133142.28"/>
    <n v="5751.5"/>
    <n v="0"/>
    <n v="4236.17"/>
    <n v="143129.95000000001"/>
    <n v="1630.9699999999998"/>
    <n v="3741.69"/>
    <n v="30.4"/>
    <n v="2821.26"/>
    <n v="25195.23"/>
    <n v="7615.28"/>
    <n v="9301.8100000000013"/>
    <n v="3980.93"/>
    <n v="6177.88"/>
    <n v="76548.08"/>
    <n v="1224"/>
    <n v="0"/>
    <n v="0"/>
    <n v="138267.53"/>
    <n v="4862.4200000000128"/>
    <n v="96124.81"/>
    <n v="179922"/>
    <n v="0.53425823412367579"/>
    <n v="0.47"/>
    <n v="0.18"/>
    <n v="0.2"/>
    <n v="1.7393287983186514"/>
    <n v="1.43"/>
    <n v="0.65"/>
    <n v="0.64"/>
    <n v="3.3972065245603818E-2"/>
    <n v="-0.45"/>
    <n v="0.02"/>
    <n v="0.27"/>
    <n v="0.28999999999999998"/>
    <n v="2.7025155345094056E-2"/>
    <n v="-0.32456334832623485"/>
    <n v="-0.30834018358059906"/>
    <n v="0.27865063499971043"/>
    <n v="0.91611905718249187"/>
    <n v="0.74"/>
  </r>
  <r>
    <x v="10"/>
    <n v="156231.70000000001"/>
    <n v="800"/>
    <n v="0"/>
    <n v="16356.98"/>
    <n v="173388.68000000002"/>
    <n v="3406.52"/>
    <n v="4609.79"/>
    <n v="0"/>
    <n v="3028.93"/>
    <n v="45802.09"/>
    <n v="351.54999999999995"/>
    <n v="9309.39"/>
    <n v="3924.53"/>
    <n v="4378.43"/>
    <n v="74599.34"/>
    <n v="1504"/>
    <n v="0"/>
    <n v="1309.43"/>
    <n v="152223.99999999997"/>
    <n v="21164.680000000051"/>
    <n v="96760.969999999987"/>
    <n v="207245"/>
    <n v="0.46689169823156162"/>
    <n v="0.47"/>
    <n v="0.18"/>
    <n v="0.2"/>
    <n v="2.0942772415948991"/>
    <n v="1.43"/>
    <n v="0.65"/>
    <n v="0.64"/>
    <n v="0.12206494680044884"/>
    <n v="-0.45"/>
    <n v="0.02"/>
    <n v="0.27"/>
    <n v="0.28999999999999998"/>
    <n v="0.10212395956476658"/>
    <n v="-0.32456334832623485"/>
    <n v="-0.30834018358059906"/>
    <n v="0.27865063499971043"/>
    <n v="0.91611905718249187"/>
    <n v="0.75385027383049052"/>
  </r>
  <r>
    <x v="11"/>
    <n v="172834.64"/>
    <n v="0"/>
    <n v="0"/>
    <n v="121467.70999999999"/>
    <n v="294302.34999999998"/>
    <n v="1041.48"/>
    <n v="6133.57"/>
    <n v="2742.25"/>
    <n v="6876.68"/>
    <n v="45802.09"/>
    <n v="14053.019999999999"/>
    <n v="1792.75"/>
    <n v="3928"/>
    <n v="2270.25"/>
    <n v="68403.079999999987"/>
    <n v="1252"/>
    <n v="44"/>
    <n v="218.49"/>
    <n v="154557.65999999997"/>
    <n v="139744.69"/>
    <n v="90167.549999999988"/>
    <n v="227414"/>
    <n v="0.3964907613427493"/>
    <n v="0.47"/>
    <n v="0.18"/>
    <n v="0.2"/>
    <n v="2.5267084464617682"/>
    <n v="1.43"/>
    <n v="0.65"/>
    <n v="0.64"/>
    <n v="0.47483375515010334"/>
    <n v="-0.45"/>
    <n v="0.02"/>
    <n v="0.27"/>
    <n v="0.28999999999999998"/>
    <n v="0.6144946661155426"/>
    <n v="-0.32456334832623485"/>
    <n v="-0.30834018358059906"/>
    <n v="0.27865063499971043"/>
    <n v="0.91611905718249187"/>
    <n v="0.76"/>
  </r>
  <r>
    <x v="12"/>
    <n v="178710"/>
    <n v="9388"/>
    <n v="0"/>
    <n v="117079.12999999999"/>
    <n v="305177.13"/>
    <n v="3617.92"/>
    <n v="6764.92"/>
    <n v="0"/>
    <n v="7791.1100000000006"/>
    <n v="45802.09"/>
    <n v="10932.369999999999"/>
    <n v="6534.6900000000005"/>
    <n v="5186.34"/>
    <n v="4801.4600000000009"/>
    <n v="101707.67"/>
    <n v="1876"/>
    <n v="0"/>
    <n v="1058.97"/>
    <n v="196073.54"/>
    <n v="109103.59"/>
    <n v="132804.38999999998"/>
    <n v="235146"/>
    <n v="0.56477418284810277"/>
    <n v="0.47"/>
    <n v="0.18"/>
    <n v="0.2"/>
    <n v="1.7570946222639847"/>
    <n v="1.43"/>
    <n v="0.65"/>
    <n v="0.64"/>
    <n v="0.35750906367066232"/>
    <n v="-0.45"/>
    <n v="0.02"/>
    <n v="0.27"/>
    <n v="0.28999999999999998"/>
    <n v="0.46398233437949188"/>
    <n v="-0.32456334832623485"/>
    <n v="-0.30834018358059906"/>
    <n v="0.27865063499971043"/>
    <n v="0.91611905718249187"/>
    <n v="0.75999591743002215"/>
  </r>
  <r>
    <x v="13"/>
    <n v="173751.2"/>
    <n v="1564"/>
    <n v="0"/>
    <n v="0"/>
    <n v="175315.20000000001"/>
    <n v="2022.1799999999998"/>
    <n v="5723.89"/>
    <n v="208.5"/>
    <n v="8333.01"/>
    <n v="34297.08"/>
    <n v="882.27"/>
    <n v="20224.54"/>
    <n v="10251.34"/>
    <n v="5414.31"/>
    <n v="97384.71"/>
    <n v="1560"/>
    <n v="0"/>
    <n v="0"/>
    <n v="186301.83000000002"/>
    <n v="-10986.630000000005"/>
    <n v="130689.44"/>
    <n v="228620"/>
    <n v="0.57164482547458662"/>
    <n v="0.47"/>
    <n v="0.18"/>
    <n v="0.2"/>
    <n v="1.7841733060559506"/>
    <n v="1.43"/>
    <n v="0.65"/>
    <n v="0.64"/>
    <n v="-6.2667869072390775E-2"/>
    <n v="-0.45"/>
    <n v="0.02"/>
    <n v="0.27"/>
    <n v="0.28999999999999998"/>
    <n v="-4.8056294287463934E-2"/>
    <n v="-0.32456334832623485"/>
    <n v="-0.30834018358059906"/>
    <n v="0.27865063499971043"/>
    <n v="0.91611905718249187"/>
    <n v="0.76"/>
  </r>
  <r>
    <x v="14"/>
    <n v="199994"/>
    <n v="7770"/>
    <n v="0"/>
    <n v="4057.62"/>
    <n v="211821.62"/>
    <n v="2711.35"/>
    <n v="5576.76"/>
    <n v="419.15000000000003"/>
    <n v="9246.4499999999989"/>
    <n v="11505"/>
    <n v="6283.4"/>
    <n v="1817"/>
    <n v="4740.66"/>
    <n v="6423.5599999999995"/>
    <n v="105190.55000000002"/>
    <n v="1936"/>
    <n v="74"/>
    <n v="290"/>
    <n v="156213.88"/>
    <n v="55607.739999999991"/>
    <n v="136189.33000000002"/>
    <n v="263150"/>
    <n v="0.51753498004940157"/>
    <n v="0.47"/>
    <n v="0.18"/>
    <n v="0.2"/>
    <n v="1.9012544377798193"/>
    <n v="1.43"/>
    <n v="0.65"/>
    <n v="0.64"/>
    <n v="0.26252154997209443"/>
    <n v="-0.45"/>
    <n v="0.02"/>
    <n v="0.27"/>
    <n v="0.28999999999999998"/>
    <n v="0.21131575147254414"/>
    <n v="-0.32456334832623485"/>
    <n v="-0.30834018358059906"/>
    <n v="0.27865063499971043"/>
    <n v="0.91611905718249187"/>
    <n v="0.76"/>
  </r>
  <r>
    <x v="15"/>
    <n v="191940.5"/>
    <n v="0"/>
    <n v="0"/>
    <n v="77507.38"/>
    <n v="269447.88"/>
    <n v="8591.07"/>
    <n v="5203.72"/>
    <n v="3376.78"/>
    <n v="8914.81"/>
    <n v="45802.17"/>
    <n v="11033.79"/>
    <n v="1825.15"/>
    <n v="6940.99"/>
    <n v="4470.6299999999992"/>
    <n v="102629.69"/>
    <n v="2410"/>
    <n v="337.5"/>
    <n v="0"/>
    <n v="201536.3"/>
    <n v="67911.580000000016"/>
    <n v="139498.41"/>
    <n v="262934"/>
    <n v="0.53054534598036007"/>
    <n v="0.47"/>
    <n v="0.18"/>
    <n v="0.2"/>
    <n v="1.8702239088903025"/>
    <n v="1.43"/>
    <n v="0.65"/>
    <n v="0.64"/>
    <n v="0.25203976368268333"/>
    <n v="-0.45"/>
    <n v="0.02"/>
    <n v="0.27"/>
    <n v="0.28999999999999998"/>
    <n v="0.25828375181604513"/>
    <n v="-0.32456334832623485"/>
    <n v="-0.30834018358059906"/>
    <n v="0.27865063499971043"/>
    <n v="0.91611905718249187"/>
    <n v="0.72999497972875327"/>
  </r>
  <r>
    <x v="16"/>
    <n v="195494.1"/>
    <n v="0"/>
    <n v="0"/>
    <n v="0"/>
    <n v="195494.1"/>
    <n v="1445.7099999999998"/>
    <n v="4960.53"/>
    <n v="986.64999999999986"/>
    <n v="8828.92"/>
    <n v="22463.23"/>
    <n v="989.05"/>
    <n v="1833.3500000000001"/>
    <n v="3943.42"/>
    <n v="4368.45"/>
    <n v="112568.54999999999"/>
    <n v="1210.52"/>
    <n v="88.8"/>
    <n v="0"/>
    <n v="163687.17999999996"/>
    <n v="31806.920000000042"/>
    <n v="137414.89999999997"/>
    <n v="277467"/>
    <n v="0.49524772315266308"/>
    <n v="0.47"/>
    <n v="0.18"/>
    <n v="0.2"/>
    <n v="1.7366671241656753"/>
    <n v="1.43"/>
    <n v="0.65"/>
    <n v="0.64"/>
    <n v="0.16270015309924976"/>
    <n v="-0.45"/>
    <n v="0.02"/>
    <n v="0.27"/>
    <n v="0.28999999999999998"/>
    <n v="0.11463316358341728"/>
    <n v="-0.32456334832623485"/>
    <n v="-0.30834018358059906"/>
    <n v="0.27865063499971043"/>
    <n v="0.91611905718249187"/>
    <n v="0.70456702959270834"/>
  </r>
  <r>
    <x v="17"/>
    <n v="182240.64000000001"/>
    <n v="2759.5"/>
    <n v="1956"/>
    <n v="27349.89"/>
    <n v="214306.03000000003"/>
    <n v="4325.13"/>
    <n v="4776.49"/>
    <n v="205.87"/>
    <n v="8833.2999999999993"/>
    <n v="22463.22"/>
    <n v="5160.41"/>
    <n v="1841.1699999999998"/>
    <n v="3554.24"/>
    <n v="4691.4400000000005"/>
    <n v="110277.73"/>
    <n v="1132.48"/>
    <n v="0"/>
    <n v="746.17000000000007"/>
    <n v="168007.65000000002"/>
    <n v="46298.380000000005"/>
    <n v="138336.98000000001"/>
    <n v="253112"/>
    <n v="0.54654453364518474"/>
    <n v="0.47"/>
    <n v="0.18"/>
    <n v="0.2"/>
    <n v="1.6525606756686053"/>
    <n v="1.43"/>
    <n v="0.65"/>
    <n v="0.64"/>
    <n v="0.21603862476478147"/>
    <n v="-0.45"/>
    <n v="0.02"/>
    <n v="0.27"/>
    <n v="0.28999999999999998"/>
    <n v="0.18291657448086224"/>
    <n v="-0.32456334832623485"/>
    <n v="-0.30834018358059906"/>
    <n v="0.27865063499971043"/>
    <n v="0.91611905718249187"/>
    <n v="0.72000000000000008"/>
  </r>
  <r>
    <x v="18"/>
    <n v="192001.68"/>
    <n v="0"/>
    <n v="0"/>
    <n v="0"/>
    <n v="192001.68"/>
    <n v="2684.7200000000003"/>
    <n v="5976.9"/>
    <n v="799.94"/>
    <n v="8837.67"/>
    <n v="22463.23"/>
    <n v="11120.2"/>
    <n v="3949.4799999999996"/>
    <n v="4004.41"/>
    <n v="11637.07"/>
    <n v="111715.26000000001"/>
    <n v="307"/>
    <n v="26.25"/>
    <n v="0"/>
    <n v="183522.13"/>
    <n v="8479.5499999999884"/>
    <n v="145189.28000000003"/>
    <n v="269669"/>
    <n v="0.53839811027593099"/>
    <n v="0.47"/>
    <n v="0.18"/>
    <n v="0.2"/>
    <n v="1.7186701261761372"/>
    <n v="1.43"/>
    <n v="0.65"/>
    <n v="0.64"/>
    <n v="4.4163936482222388E-2"/>
    <n v="-0.45"/>
    <n v="0.02"/>
    <n v="0.27"/>
    <n v="0.28999999999999998"/>
    <n v="3.1444289109982933E-2"/>
    <n v="-0.32456334832623485"/>
    <n v="-0.30834018358059906"/>
    <n v="0.27865063499971043"/>
    <n v="0.91611905718249187"/>
    <n v="0.71199018055468"/>
  </r>
  <r>
    <x v="19"/>
    <n v="202282.56"/>
    <n v="0"/>
    <n v="0"/>
    <n v="25000"/>
    <n v="227282.56"/>
    <n v="2047.75"/>
    <n v="6236.58"/>
    <n v="170.92"/>
    <n v="8558.5"/>
    <n v="38614.620000000003"/>
    <n v="679.18999999999994"/>
    <n v="9247.39"/>
    <n v="4758.1000000000004"/>
    <n v="1736.79"/>
    <n v="121174.45"/>
    <n v="326"/>
    <n v="0"/>
    <n v="720"/>
    <n v="194270.29"/>
    <n v="33012.26999999999"/>
    <n v="145558.16999999998"/>
    <n v="280948"/>
    <n v="0.51809648048749224"/>
    <n v="0.47"/>
    <n v="0.18"/>
    <n v="0.2"/>
    <n v="1.6693499330923309"/>
    <n v="1.43"/>
    <n v="0.65"/>
    <n v="0.64"/>
    <n v="0.14524770400333395"/>
    <n v="-0.45"/>
    <n v="0.02"/>
    <n v="0.27"/>
    <n v="0.28999999999999998"/>
    <n v="0.11750313225223169"/>
    <n v="-0.32456334832623485"/>
    <n v="-0.30834018358059906"/>
    <n v="0.27865063499971043"/>
    <n v="0.91611905718249187"/>
    <n v="0.72"/>
  </r>
  <r>
    <x v="20"/>
    <n v="184525.92"/>
    <n v="0"/>
    <n v="0"/>
    <n v="10419.689999999999"/>
    <n v="194945.61000000002"/>
    <n v="1221.3"/>
    <n v="4458.3900000000003"/>
    <n v="2561.5300000000002"/>
    <n v="7262.09"/>
    <n v="26665.760000000002"/>
    <n v="5368.49"/>
    <n v="9043.98"/>
    <n v="3469.62"/>
    <n v="3408.29"/>
    <n v="125576.54999999999"/>
    <n v="992"/>
    <n v="0"/>
    <n v="759.84"/>
    <n v="190787.84"/>
    <n v="4157.7700000000186"/>
    <n v="147148.07999999999"/>
    <n v="256286"/>
    <n v="0.57415574787542034"/>
    <n v="0.47"/>
    <n v="0.18"/>
    <n v="0.2"/>
    <n v="1.4694297621649903"/>
    <n v="1.43"/>
    <n v="0.65"/>
    <n v="0.64"/>
    <n v="2.1327846264401738E-2"/>
    <n v="-0.45"/>
    <n v="0.02"/>
    <n v="0.27"/>
    <n v="0.28999999999999998"/>
    <n v="1.6223164745635808E-2"/>
    <n v="-0.32456334832623485"/>
    <n v="-0.30834018358059906"/>
    <n v="0.27865063499971043"/>
    <n v="0.91611905718249187"/>
    <n v="0.72000000000000008"/>
  </r>
  <r>
    <x v="21"/>
    <n v="180128.59"/>
    <n v="0"/>
    <n v="0"/>
    <n v="9000"/>
    <n v="189128.59"/>
    <n v="4226.18"/>
    <n v="4994.34"/>
    <n v="2622.8500000000004"/>
    <n v="8837.66"/>
    <n v="27760.7"/>
    <n v="4333.57"/>
    <n v="9054.8700000000008"/>
    <n v="4387.16"/>
    <n v="2752.19"/>
    <n v="122604.68000000001"/>
    <n v="1174"/>
    <n v="0"/>
    <n v="0"/>
    <n v="192748.2"/>
    <n v="-3619.6100000000151"/>
    <n v="148976.21000000002"/>
    <n v="246557"/>
    <n v="0.60422624383002721"/>
    <n v="0.47"/>
    <n v="0.18"/>
    <n v="0.2"/>
    <n v="1.4691820083866292"/>
    <n v="1.43"/>
    <n v="0.65"/>
    <n v="0.64"/>
    <n v="-1.9138354492041713E-2"/>
    <n v="-0.45"/>
    <n v="0.02"/>
    <n v="0.27"/>
    <n v="0.28999999999999998"/>
    <n v="-1.4680621519567545E-2"/>
    <n v="-0.32456334832623485"/>
    <n v="-0.30834018358059906"/>
    <n v="0.27865063499971043"/>
    <n v="0.91611905718249187"/>
    <n v="0.73057585061466512"/>
  </r>
  <r>
    <x v="22"/>
    <n v="160696"/>
    <n v="21950"/>
    <n v="1400"/>
    <n v="24362.2"/>
    <n v="208408.2"/>
    <n v="2407.4700000000003"/>
    <n v="5386.1"/>
    <n v="2967.8100000000004"/>
    <n v="9746.25"/>
    <n v="19523"/>
    <n v="769.87"/>
    <n v="9065.89"/>
    <n v="4498.93"/>
    <n v="4416.84"/>
    <n v="117466.68000000001"/>
    <n v="6822.2"/>
    <n v="340"/>
    <n v="6920.13"/>
    <n v="190331.17000000004"/>
    <n v="18077.02999999997"/>
    <n v="158004.60000000003"/>
    <n v="214262"/>
    <n v="0.73743640962933243"/>
    <n v="0.47"/>
    <n v="0.18"/>
    <n v="0.2"/>
    <n v="1.3680134656057359"/>
    <n v="1.43"/>
    <n v="0.65"/>
    <n v="0.64"/>
    <n v="8.673857362618155E-2"/>
    <n v="-0.45"/>
    <n v="0.02"/>
    <n v="0.27"/>
    <n v="0.28999999999999998"/>
    <n v="8.436881014832294E-2"/>
    <n v="-0.32456334832623485"/>
    <n v="-0.30834018358059906"/>
    <n v="0.27865063499971043"/>
    <n v="0.91611905718249187"/>
    <n v="0.74999766640841592"/>
  </r>
  <r>
    <x v="23"/>
    <n v="157221"/>
    <n v="3900"/>
    <n v="0"/>
    <n v="261816.16"/>
    <n v="422937.16000000003"/>
    <n v="1771.1499999999999"/>
    <n v="6030.4"/>
    <n v="5206.4999999999991"/>
    <n v="8842.0400000000009"/>
    <n v="19523"/>
    <n v="5331.1200000000008"/>
    <n v="3994.3700000000003"/>
    <n v="4630.7"/>
    <n v="3677.91"/>
    <n v="112756.64"/>
    <n v="2355.48"/>
    <n v="2"/>
    <n v="1758.32"/>
    <n v="175879.63000000003"/>
    <n v="247057.53"/>
    <n v="141824.64000000001"/>
    <n v="209629"/>
    <n v="0.6765506680850456"/>
    <n v="0.47"/>
    <n v="0.18"/>
    <n v="0.2"/>
    <n v="1.3943391715113185"/>
    <n v="1.43"/>
    <n v="0.65"/>
    <n v="0.64"/>
    <n v="0.58414713429295262"/>
    <n v="-0.45"/>
    <n v="0.02"/>
    <n v="0.27"/>
    <n v="0.28999999999999998"/>
    <n v="1.1785465274365665"/>
    <n v="-0.32456334832623485"/>
    <n v="-0.30834018358059906"/>
    <n v="0.27865063499971043"/>
    <n v="0.91611905718249187"/>
    <n v="0.74999642225073826"/>
  </r>
  <r>
    <x v="24"/>
    <n v="182567"/>
    <n v="4860"/>
    <n v="0"/>
    <n v="3391.5"/>
    <n v="190818.5"/>
    <n v="2706.12"/>
    <n v="5940.77"/>
    <n v="0"/>
    <n v="9410.8100000000013"/>
    <n v="4750"/>
    <n v="1174.33"/>
    <n v="2585.23"/>
    <n v="7354.38"/>
    <n v="2752.98"/>
    <n v="101570.94"/>
    <n v="0"/>
    <n v="586.5"/>
    <n v="170"/>
    <n v="139002.06"/>
    <n v="51816.44"/>
    <n v="130492.5"/>
    <n v="243423"/>
    <n v="0.53607300871322761"/>
    <n v="0.47"/>
    <n v="0.18"/>
    <n v="0.2"/>
    <n v="1.7974333997499679"/>
    <n v="1.43"/>
    <n v="0.65"/>
    <n v="0.64"/>
    <n v="0.27154830375461497"/>
    <n v="-0.45"/>
    <n v="0.02"/>
    <n v="0.27"/>
    <n v="0.28999999999999998"/>
    <n v="0.21286583437062234"/>
    <n v="-0.32456334832623485"/>
    <n v="-0.30834018358059906"/>
    <n v="0.27865063499971043"/>
    <n v="0.91611905718249187"/>
    <n v="0.74999897298118912"/>
  </r>
  <r>
    <x v="25"/>
    <n v="186699.75"/>
    <n v="0"/>
    <n v="0"/>
    <n v="6460"/>
    <n v="193159.75"/>
    <n v="2323.75"/>
    <n v="5290.04"/>
    <n v="577.96"/>
    <n v="9980.1200000000008"/>
    <n v="19523"/>
    <n v="3281.8999999999996"/>
    <n v="2596.3199999999997"/>
    <n v="8354.6299999999992"/>
    <n v="4548.46"/>
    <n v="116815"/>
    <n v="0"/>
    <n v="0"/>
    <n v="388.49"/>
    <n v="173679.66999999998"/>
    <n v="19480.080000000016"/>
    <n v="147700.49"/>
    <n v="248933"/>
    <n v="0.5933343108386594"/>
    <n v="0.47"/>
    <n v="0.18"/>
    <n v="0.2"/>
    <n v="1.5982515087959595"/>
    <n v="1.43"/>
    <n v="0.65"/>
    <n v="0.64"/>
    <n v="0.10084958175810445"/>
    <n v="-0.45"/>
    <n v="0.02"/>
    <n v="0.27"/>
    <n v="0.28999999999999998"/>
    <n v="7.8254309392487204E-2"/>
    <n v="-0.32456334832623485"/>
    <n v="-0.30834018358059906"/>
    <n v="0.27865063499971043"/>
    <n v="0.91611905718249187"/>
    <n v="0.75"/>
  </r>
  <r>
    <x v="26"/>
    <n v="211971.75"/>
    <n v="0"/>
    <n v="0"/>
    <n v="4392.5200000000004"/>
    <n v="216364.27"/>
    <n v="2130.94"/>
    <n v="6089.05"/>
    <n v="502.14"/>
    <n v="9573.2099999999991"/>
    <n v="18447.12"/>
    <n v="1480.9299999999998"/>
    <n v="2607.4500000000003"/>
    <n v="8433.39"/>
    <n v="6025.95"/>
    <n v="148100.22"/>
    <n v="0"/>
    <n v="0"/>
    <n v="1040"/>
    <n v="204430.4"/>
    <n v="11933.869999999995"/>
    <n v="181392.76"/>
    <n v="282629"/>
    <n v="0.64180519338072173"/>
    <n v="0.47"/>
    <n v="0.18"/>
    <n v="0.2"/>
    <n v="1.4312723505744962"/>
    <n v="1.43"/>
    <n v="0.65"/>
    <n v="0.64"/>
    <n v="5.5156380487406703E-2"/>
    <n v="-0.45"/>
    <n v="0.02"/>
    <n v="0.27"/>
    <n v="0.28999999999999998"/>
    <n v="4.2224506331622003E-2"/>
    <n v="-0.32456334832623485"/>
    <n v="-0.30834018358059906"/>
    <n v="0.27865063499971043"/>
    <n v="0.91611905718249187"/>
    <n v="0.75"/>
  </r>
  <r>
    <x v="27"/>
    <n v="201074.25"/>
    <n v="0"/>
    <n v="2000"/>
    <n v="76229.03"/>
    <n v="279303.28000000003"/>
    <n v="2745.56"/>
    <n v="5549.91"/>
    <n v="563.68000000000006"/>
    <n v="8886.51"/>
    <n v="20598.879999999997"/>
    <n v="1932.8300000000002"/>
    <n v="2618.62"/>
    <n v="7362.47"/>
    <n v="2885.8199999999997"/>
    <n v="146156.89000000001"/>
    <n v="0"/>
    <n v="0"/>
    <n v="860"/>
    <n v="200161.17"/>
    <n v="79142.110000000015"/>
    <n v="174447.16"/>
    <n v="268099"/>
    <n v="0.65068187497901897"/>
    <n v="0.47"/>
    <n v="0.18"/>
    <n v="0.2"/>
    <n v="1.375742532562098"/>
    <n v="1.43"/>
    <n v="0.65"/>
    <n v="0.64"/>
    <n v="0.28335546220581442"/>
    <n v="-0.45"/>
    <n v="0.02"/>
    <n v="0.27"/>
    <n v="0.28999999999999998"/>
    <n v="0.29519733382071556"/>
    <n v="-0.32456334832623485"/>
    <n v="-0.30834018358059906"/>
    <n v="0.27865063499971043"/>
    <n v="0.91611905718249187"/>
    <n v="0.75"/>
  </r>
  <r>
    <x v="28"/>
    <n v="199754.25"/>
    <n v="0"/>
    <n v="2000"/>
    <n v="0"/>
    <n v="201754.25"/>
    <n v="623"/>
    <n v="4858.05"/>
    <n v="467.15000000000003"/>
    <n v="9159.69"/>
    <n v="0"/>
    <n v="1237.99"/>
    <n v="2629.86"/>
    <n v="6602.56"/>
    <n v="5392.12"/>
    <n v="100629.16"/>
    <n v="0"/>
    <n v="0"/>
    <n v="260"/>
    <n v="131859.58000000002"/>
    <n v="69894.669999999984"/>
    <n v="127524.58"/>
    <n v="266339"/>
    <n v="0.4788055072670544"/>
    <n v="0.47"/>
    <n v="0.18"/>
    <n v="0.2"/>
    <n v="1.9850533384160216"/>
    <n v="1.43"/>
    <n v="0.65"/>
    <n v="0.64"/>
    <n v="0.34643468477120054"/>
    <n v="-0.45"/>
    <n v="0.02"/>
    <n v="0.27"/>
    <n v="0.28999999999999998"/>
    <n v="0.26242747025407465"/>
    <n v="-0.32456334832623485"/>
    <n v="-0.30834018358059906"/>
    <n v="0.27865063499971043"/>
    <n v="0.91611905718249187"/>
    <n v="0.75"/>
  </r>
  <r>
    <x v="29"/>
    <n v="175575"/>
    <n v="0"/>
    <n v="0"/>
    <n v="1221.97"/>
    <n v="176796.97"/>
    <n v="2933.1200000000003"/>
    <n v="5931.81"/>
    <n v="0"/>
    <n v="8898.8799999999992"/>
    <n v="0"/>
    <n v="2399.83"/>
    <n v="2277.85"/>
    <n v="7521.05"/>
    <n v="7078.6900000000005"/>
    <n v="112743.9"/>
    <n v="0"/>
    <n v="0"/>
    <n v="0"/>
    <n v="149785.13"/>
    <n v="27011.839999999997"/>
    <n v="145107.44999999998"/>
    <n v="234100"/>
    <n v="0.61985241349850484"/>
    <n v="0.47"/>
    <n v="0.18"/>
    <n v="0.2"/>
    <n v="1.557290460947333"/>
    <n v="1.43"/>
    <n v="0.65"/>
    <n v="0.64"/>
    <n v="0.15278451887495581"/>
    <n v="-0.45"/>
    <n v="0.02"/>
    <n v="0.27"/>
    <n v="0.28999999999999998"/>
    <n v="0.11538590346005979"/>
    <n v="-0.32456334832623485"/>
    <n v="-0.30834018358059906"/>
    <n v="0.27865063499971043"/>
    <n v="0.91611905718249187"/>
    <n v="0.75"/>
  </r>
  <r>
    <x v="30"/>
    <n v="158392.04999999999"/>
    <n v="0"/>
    <n v="0"/>
    <n v="0"/>
    <n v="158392.04999999999"/>
    <n v="3887.2599999999998"/>
    <n v="8440.98"/>
    <n v="3157.3900000000003"/>
    <n v="8584.06"/>
    <n v="58569"/>
    <n v="8673.27"/>
    <n v="2652.46"/>
    <n v="8087.36"/>
    <n v="2863.45"/>
    <n v="115077.9"/>
    <n v="0"/>
    <n v="0"/>
    <n v="223.44"/>
    <n v="220216.57"/>
    <n v="-61824.520000000019"/>
    <n v="147164.45000000001"/>
    <n v="211190"/>
    <n v="0.69683436715753588"/>
    <n v="0.47"/>
    <n v="0.18"/>
    <n v="0.2"/>
    <n v="1.3763898194179769"/>
    <n v="1.43"/>
    <n v="0.65"/>
    <n v="0.64"/>
    <n v="-0.39032590335184136"/>
    <n v="-0.45"/>
    <n v="0.02"/>
    <n v="0.27"/>
    <n v="0.28999999999999998"/>
    <n v="-0.29274359581419584"/>
    <n v="-0.32456334832623485"/>
    <n v="-0.30834018358059906"/>
    <n v="0.27865063499971043"/>
    <n v="0.91611905718249187"/>
    <n v="0.74999786921729239"/>
  </r>
  <r>
    <x v="31"/>
    <n v="160425"/>
    <n v="0"/>
    <n v="0"/>
    <n v="24978.73"/>
    <n v="185403.73"/>
    <n v="6605.25"/>
    <n v="7455.89"/>
    <n v="971.38"/>
    <n v="7093.26"/>
    <n v="14824.41"/>
    <n v="3283.6900000000005"/>
    <n v="2297.5500000000002"/>
    <n v="7911.72"/>
    <n v="1657.2800000000002"/>
    <n v="100484.44"/>
    <n v="0"/>
    <n v="79.58"/>
    <n v="7654.31"/>
    <n v="160318.75999999998"/>
    <n v="25084.97000000003"/>
    <n v="138941.72999999998"/>
    <n v="213900"/>
    <n v="0.6495639551192145"/>
    <n v="0.47"/>
    <n v="0.18"/>
    <n v="0.2"/>
    <n v="1.5965158386711416"/>
    <n v="1.43"/>
    <n v="0.65"/>
    <n v="0.64"/>
    <n v="0.13529916577190776"/>
    <n v="-0.45"/>
    <n v="0.02"/>
    <n v="0.27"/>
    <n v="0.28999999999999998"/>
    <n v="0.11727428705002352"/>
    <n v="-0.32456334832623485"/>
    <n v="-0.30834018358059906"/>
    <n v="0.27865063499971043"/>
    <n v="0.91611905718249187"/>
    <n v="0.75"/>
  </r>
  <r>
    <x v="32"/>
    <n v="166961"/>
    <n v="12480"/>
    <n v="0"/>
    <n v="4322.2700000000004"/>
    <n v="183763.27"/>
    <n v="3301.41"/>
    <n v="7302.02"/>
    <n v="0"/>
    <n v="7093.26"/>
    <n v="0"/>
    <n v="112.01"/>
    <n v="367.79"/>
    <n v="8905.14"/>
    <n v="4802.0599999999995"/>
    <n v="91070.52"/>
    <n v="0"/>
    <n v="0"/>
    <n v="0"/>
    <n v="122954.21"/>
    <n v="60809.059999999983"/>
    <n v="122474.41"/>
    <n v="210357"/>
    <n v="0.58222169930166334"/>
    <n v="0.47"/>
    <n v="0.18"/>
    <n v="0.2"/>
    <n v="1.8333155449205736"/>
    <n v="1.43"/>
    <n v="0.65"/>
    <n v="0.64"/>
    <n v="0.33090976232627983"/>
    <n v="-0.45"/>
    <n v="0.02"/>
    <n v="0.27"/>
    <n v="0.28999999999999998"/>
    <n v="0.289075523990169"/>
    <n v="-0.32456334832623485"/>
    <n v="-0.30834018358059906"/>
    <n v="0.27865063499971043"/>
    <n v="0.91611905718249187"/>
    <n v="0.79370308570667958"/>
  </r>
  <r>
    <x v="33"/>
    <n v="168163.29"/>
    <n v="18650"/>
    <n v="0"/>
    <n v="0"/>
    <n v="186813.29"/>
    <n v="5783.2199999999993"/>
    <n v="10617.02"/>
    <n v="226.64999999999998"/>
    <n v="7840.93"/>
    <n v="19471.5"/>
    <n v="3462.67"/>
    <n v="0"/>
    <n v="7688.14"/>
    <n v="3756.66"/>
    <n v="82855.199999999997"/>
    <n v="0"/>
    <n v="0"/>
    <n v="186.2"/>
    <n v="141888.19"/>
    <n v="44925.100000000006"/>
    <n v="118727.37"/>
    <n v="207609"/>
    <n v="0.5718796872967935"/>
    <n v="0.47"/>
    <n v="0.18"/>
    <n v="0.2"/>
    <n v="2.0296045390029835"/>
    <n v="1.43"/>
    <n v="0.65"/>
    <n v="0.64"/>
    <n v="0.24048128481651387"/>
    <n v="-0.45"/>
    <n v="0.02"/>
    <n v="0.27"/>
    <n v="0.28999999999999998"/>
    <n v="0.21639283460736292"/>
    <n v="-0.32456334832623485"/>
    <n v="-0.30834018358059906"/>
    <n v="0.27865063499971043"/>
    <n v="0.91611905718249187"/>
    <n v="0.81"/>
  </r>
  <r>
    <x v="34"/>
    <n v="168955.35"/>
    <n v="1334.67"/>
    <n v="0"/>
    <n v="28523.34"/>
    <n v="198813.36000000002"/>
    <n v="4624.8900000000003"/>
    <n v="11643.65"/>
    <n v="0"/>
    <n v="7874.13"/>
    <n v="0"/>
    <n v="112.5"/>
    <n v="1049.74"/>
    <n v="7049.05"/>
    <n v="6033.96"/>
    <n v="118442.7"/>
    <n v="0"/>
    <n v="0"/>
    <n v="0"/>
    <n v="156830.62"/>
    <n v="41982.74000000002"/>
    <n v="155668.38"/>
    <n v="198771"/>
    <n v="0.78315438368776136"/>
    <n v="0.47"/>
    <n v="0.18"/>
    <n v="0.2"/>
    <n v="1.4264733073460838"/>
    <n v="1.43"/>
    <n v="0.65"/>
    <n v="0.64"/>
    <n v="0.21116659363334545"/>
    <n v="-0.45"/>
    <n v="0.02"/>
    <n v="0.27"/>
    <n v="0.28999999999999998"/>
    <n v="0.21121159525282873"/>
    <n v="-0.32456334832623485"/>
    <n v="-0.30834018358059906"/>
    <n v="0.27865063499971043"/>
    <n v="0.91611905718249187"/>
    <n v="0.85"/>
  </r>
  <r>
    <x v="35"/>
    <n v="175692.45"/>
    <n v="0"/>
    <n v="0"/>
    <n v="279358.28000000003"/>
    <n v="455050.73000000004"/>
    <n v="5110.71"/>
    <n v="13688.63"/>
    <n v="5419.869999999999"/>
    <n v="8068.1900000000005"/>
    <n v="63315"/>
    <n v="6391.420000000001"/>
    <n v="713.5"/>
    <n v="6996.62"/>
    <n v="1958.08"/>
    <n v="128525.7"/>
    <n v="0"/>
    <n v="0"/>
    <n v="0"/>
    <n v="240187.71999999997"/>
    <n v="214863.01000000007"/>
    <n v="164347.93"/>
    <n v="206697"/>
    <n v="0.79511521696009135"/>
    <n v="0.47"/>
    <n v="0.18"/>
    <n v="0.2"/>
    <n v="1.3669830236287375"/>
    <n v="1.43"/>
    <n v="0.65"/>
    <n v="0.64"/>
    <n v="0.47217375082553992"/>
    <n v="-0.45"/>
    <n v="0.02"/>
    <n v="0.27"/>
    <n v="0.28999999999999998"/>
    <n v="1.0395071529823852"/>
    <n v="-0.32456334832623485"/>
    <n v="-0.30834018358059906"/>
    <n v="0.27865063499971043"/>
    <n v="0.91611905718249187"/>
    <n v="0.8500000000000000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Обобщена таблица1" cacheId="0" applyNumberFormats="0" applyBorderFormats="0" applyFontFormats="0" applyPatternFormats="0" applyAlignmentFormats="0" applyWidthHeightFormats="1" dataCaption="Стойности" updatedVersion="8" minRefreshableVersion="3" useAutoFormatting="1" itemPrintTitles="1" createdVersion="6" indent="0" outline="1" outlineData="1" multipleFieldFilters="0" chartFormat="3">
  <location ref="A3:B7" firstHeaderRow="1" firstDataRow="1" firstDataCol="1"/>
  <pivotFields count="44">
    <pivotField axis="axisRow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numFmtId="2" showAll="0"/>
    <pivotField showAll="0"/>
    <pivotField showAll="0"/>
    <pivotField showAll="0"/>
    <pivotField numFmtId="2" showAll="0"/>
    <pivotField showAll="0"/>
    <pivotField showAll="0"/>
    <pivotField showAll="0"/>
    <pivotField numFmtId="2" showAll="0"/>
    <pivotField numFmtId="2" showAll="0"/>
    <pivotField showAll="0"/>
    <pivotField showAll="0"/>
    <pivotField showAll="0"/>
    <pivotField numFmtId="2" showAll="0"/>
    <pivotField showAll="0"/>
    <pivotField showAll="0"/>
    <pivotField showAll="0"/>
    <pivotField showAll="0"/>
    <pivotField numFmtId="164" showAll="0"/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6">
        <item sd="0" x="0"/>
        <item sd="0" x="1"/>
        <item sd="0" x="2"/>
        <item sd="0" x="3"/>
        <item sd="0" x="4"/>
        <item t="default"/>
      </items>
    </pivotField>
  </pivotFields>
  <rowFields count="3">
    <field x="43"/>
    <field x="42"/>
    <field x="0"/>
  </rowFields>
  <rowItems count="4">
    <i>
      <x v="1"/>
    </i>
    <i>
      <x v="2"/>
    </i>
    <i>
      <x v="3"/>
    </i>
    <i t="grand">
      <x/>
    </i>
  </rowItems>
  <colItems count="1">
    <i/>
  </colItems>
  <dataFields count="1">
    <dataField name="Сума от Печалба на месец" fld="20" baseField="0" baseItem="0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Обобщена таблица2" cacheId="0" applyNumberFormats="0" applyBorderFormats="0" applyFontFormats="0" applyPatternFormats="0" applyAlignmentFormats="0" applyWidthHeightFormats="1" dataCaption="Стойности" updatedVersion="8" minRefreshableVersion="3" useAutoFormatting="1" itemPrintTitles="1" createdVersion="6" indent="0" outline="1" outlineData="1" multipleFieldFilters="0" chartFormat="8">
  <location ref="A3:B55" firstHeaderRow="1" firstDataRow="1" firstDataCol="1"/>
  <pivotFields count="44">
    <pivotField axis="axisRow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numFmtId="2" showAll="0"/>
    <pivotField showAll="0"/>
    <pivotField showAll="0"/>
    <pivotField showAll="0"/>
    <pivotField numFmtId="2" showAll="0"/>
    <pivotField showAll="0"/>
    <pivotField showAll="0"/>
    <pivotField showAll="0"/>
    <pivotField numFmtId="2" showAll="0"/>
    <pivotField numFmtId="2" showAll="0"/>
    <pivotField showAll="0"/>
    <pivotField showAll="0"/>
    <pivotField showAll="0"/>
    <pivotField numFmtId="2" showAll="0"/>
    <pivotField showAll="0"/>
    <pivotField showAll="0"/>
    <pivotField showAll="0"/>
    <pivotField showAll="0"/>
    <pivotField numFmtId="164" showAll="0"/>
    <pivotField axis="axisRow" showAll="0" defaultSubtotal="0">
      <items count="6">
        <item sd="0" x="0"/>
        <item x="1"/>
        <item x="2"/>
        <item x="3"/>
        <item x="4"/>
        <item sd="0" x="5"/>
      </items>
    </pivotField>
    <pivotField axis="axisRow" showAll="0" defaultSubtotal="0">
      <items count="5">
        <item sd="0" x="0"/>
        <item x="1"/>
        <item x="2"/>
        <item x="3"/>
        <item sd="0" x="4"/>
      </items>
    </pivotField>
  </pivotFields>
  <rowFields count="3">
    <field x="43"/>
    <field x="42"/>
    <field x="0"/>
  </rowFields>
  <rowItems count="52">
    <i>
      <x v="1"/>
    </i>
    <i r="1">
      <x v="1"/>
    </i>
    <i r="2">
      <x v="1"/>
    </i>
    <i r="2">
      <x v="2"/>
    </i>
    <i r="2">
      <x v="3"/>
    </i>
    <i r="1">
      <x v="2"/>
    </i>
    <i r="2">
      <x v="4"/>
    </i>
    <i r="2">
      <x v="5"/>
    </i>
    <i r="2">
      <x v="6"/>
    </i>
    <i r="1">
      <x v="3"/>
    </i>
    <i r="2">
      <x v="7"/>
    </i>
    <i r="2">
      <x v="8"/>
    </i>
    <i r="2">
      <x v="9"/>
    </i>
    <i r="1">
      <x v="4"/>
    </i>
    <i r="2">
      <x v="10"/>
    </i>
    <i r="2">
      <x v="11"/>
    </i>
    <i r="2">
      <x v="12"/>
    </i>
    <i>
      <x v="2"/>
    </i>
    <i r="1">
      <x v="1"/>
    </i>
    <i r="2">
      <x v="1"/>
    </i>
    <i r="2">
      <x v="2"/>
    </i>
    <i r="2">
      <x v="3"/>
    </i>
    <i r="1">
      <x v="2"/>
    </i>
    <i r="2">
      <x v="4"/>
    </i>
    <i r="2">
      <x v="5"/>
    </i>
    <i r="2">
      <x v="6"/>
    </i>
    <i r="1">
      <x v="3"/>
    </i>
    <i r="2">
      <x v="7"/>
    </i>
    <i r="2">
      <x v="8"/>
    </i>
    <i r="2">
      <x v="9"/>
    </i>
    <i r="1">
      <x v="4"/>
    </i>
    <i r="2">
      <x v="10"/>
    </i>
    <i r="2">
      <x v="11"/>
    </i>
    <i r="2">
      <x v="12"/>
    </i>
    <i>
      <x v="3"/>
    </i>
    <i r="1">
      <x v="1"/>
    </i>
    <i r="2">
      <x v="1"/>
    </i>
    <i r="2">
      <x v="2"/>
    </i>
    <i r="2">
      <x v="3"/>
    </i>
    <i r="1">
      <x v="2"/>
    </i>
    <i r="2">
      <x v="4"/>
    </i>
    <i r="2">
      <x v="5"/>
    </i>
    <i r="2">
      <x v="6"/>
    </i>
    <i r="1">
      <x v="3"/>
    </i>
    <i r="2">
      <x v="7"/>
    </i>
    <i r="2">
      <x v="8"/>
    </i>
    <i r="2">
      <x v="9"/>
    </i>
    <i r="1">
      <x v="4"/>
    </i>
    <i r="2">
      <x v="10"/>
    </i>
    <i r="2">
      <x v="11"/>
    </i>
    <i r="2">
      <x v="12"/>
    </i>
    <i t="grand">
      <x/>
    </i>
  </rowItems>
  <colItems count="1">
    <i/>
  </colItems>
  <dataFields count="1">
    <dataField name="Сума от Печалба на месец" fld="20" baseField="0" baseItem="0"/>
  </dataFields>
  <chartFormats count="6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Обобщена таблица3" cacheId="0" applyNumberFormats="0" applyBorderFormats="0" applyFontFormats="0" applyPatternFormats="0" applyAlignmentFormats="0" applyWidthHeightFormats="1" dataCaption="Стойности" updatedVersion="8" minRefreshableVersion="3" useAutoFormatting="1" itemPrintTitles="1" createdVersion="6" indent="0" outline="1" outlineData="1" multipleFieldFilters="0" chartFormat="3">
  <location ref="A3:E55" firstHeaderRow="0" firstDataRow="1" firstDataCol="1"/>
  <pivotFields count="44">
    <pivotField axis="axisRow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numFmtId="2" showAll="0"/>
    <pivotField dataField="1" showAll="0"/>
    <pivotField dataField="1" showAll="0"/>
    <pivotField dataField="1" showAll="0"/>
    <pivotField numFmtId="2" showAll="0"/>
    <pivotField showAll="0"/>
    <pivotField showAll="0"/>
    <pivotField showAll="0"/>
    <pivotField numFmtId="2" showAll="0"/>
    <pivotField numFmtId="2" showAll="0"/>
    <pivotField showAll="0"/>
    <pivotField showAll="0"/>
    <pivotField showAll="0"/>
    <pivotField numFmtId="2" showAll="0"/>
    <pivotField showAll="0"/>
    <pivotField showAll="0"/>
    <pivotField showAll="0"/>
    <pivotField showAll="0"/>
    <pivotField numFmtId="164" showAll="0"/>
    <pivotField axis="axisRow" showAll="0" defaultSubtotal="0">
      <items count="6">
        <item sd="0" x="0"/>
        <item x="1"/>
        <item x="2"/>
        <item x="3"/>
        <item x="4"/>
        <item sd="0" x="5"/>
      </items>
    </pivotField>
    <pivotField axis="axisRow" showAll="0" defaultSubtotal="0">
      <items count="5">
        <item sd="0" x="0"/>
        <item x="1"/>
        <item x="2"/>
        <item x="3"/>
        <item sd="0" x="4"/>
      </items>
    </pivotField>
  </pivotFields>
  <rowFields count="3">
    <field x="43"/>
    <field x="42"/>
    <field x="0"/>
  </rowFields>
  <rowItems count="52">
    <i>
      <x v="1"/>
    </i>
    <i r="1">
      <x v="1"/>
    </i>
    <i r="2">
      <x v="1"/>
    </i>
    <i r="2">
      <x v="2"/>
    </i>
    <i r="2">
      <x v="3"/>
    </i>
    <i r="1">
      <x v="2"/>
    </i>
    <i r="2">
      <x v="4"/>
    </i>
    <i r="2">
      <x v="5"/>
    </i>
    <i r="2">
      <x v="6"/>
    </i>
    <i r="1">
      <x v="3"/>
    </i>
    <i r="2">
      <x v="7"/>
    </i>
    <i r="2">
      <x v="8"/>
    </i>
    <i r="2">
      <x v="9"/>
    </i>
    <i r="1">
      <x v="4"/>
    </i>
    <i r="2">
      <x v="10"/>
    </i>
    <i r="2">
      <x v="11"/>
    </i>
    <i r="2">
      <x v="12"/>
    </i>
    <i>
      <x v="2"/>
    </i>
    <i r="1">
      <x v="1"/>
    </i>
    <i r="2">
      <x v="1"/>
    </i>
    <i r="2">
      <x v="2"/>
    </i>
    <i r="2">
      <x v="3"/>
    </i>
    <i r="1">
      <x v="2"/>
    </i>
    <i r="2">
      <x v="4"/>
    </i>
    <i r="2">
      <x v="5"/>
    </i>
    <i r="2">
      <x v="6"/>
    </i>
    <i r="1">
      <x v="3"/>
    </i>
    <i r="2">
      <x v="7"/>
    </i>
    <i r="2">
      <x v="8"/>
    </i>
    <i r="2">
      <x v="9"/>
    </i>
    <i r="1">
      <x v="4"/>
    </i>
    <i r="2">
      <x v="10"/>
    </i>
    <i r="2">
      <x v="11"/>
    </i>
    <i r="2">
      <x v="12"/>
    </i>
    <i>
      <x v="3"/>
    </i>
    <i r="1">
      <x v="1"/>
    </i>
    <i r="2">
      <x v="1"/>
    </i>
    <i r="2">
      <x v="2"/>
    </i>
    <i r="2">
      <x v="3"/>
    </i>
    <i r="1">
      <x v="2"/>
    </i>
    <i r="2">
      <x v="4"/>
    </i>
    <i r="2">
      <x v="5"/>
    </i>
    <i r="2">
      <x v="6"/>
    </i>
    <i r="1">
      <x v="3"/>
    </i>
    <i r="2">
      <x v="7"/>
    </i>
    <i r="2">
      <x v="8"/>
    </i>
    <i r="2">
      <x v="9"/>
    </i>
    <i r="1">
      <x v="4"/>
    </i>
    <i r="2">
      <x v="10"/>
    </i>
    <i r="2">
      <x v="11"/>
    </i>
    <i r="2">
      <x v="1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Произодствени разходи/литър" fld="23" baseField="0" baseItem="0"/>
    <dataField name="Нисък разход" fld="24" baseField="32" baseItem="1"/>
    <dataField name="Среден разход" fld="25" baseField="32" baseItem="1"/>
    <dataField name="Висок разход" fld="26" baseField="0" baseItem="0"/>
  </dataFields>
  <chartFormats count="8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2" format="8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9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2" format="10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2" format="1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0000000}" name="Обобщена таблица4" cacheId="0" applyNumberFormats="0" applyBorderFormats="0" applyFontFormats="0" applyPatternFormats="0" applyAlignmentFormats="0" applyWidthHeightFormats="1" dataCaption="Стойности" updatedVersion="8" minRefreshableVersion="3" useAutoFormatting="1" itemPrintTitles="1" createdVersion="6" indent="0" outline="1" outlineData="1" multipleFieldFilters="0" chartFormat="3">
  <location ref="A3:E55" firstHeaderRow="0" firstDataRow="1" firstDataCol="1"/>
  <pivotFields count="44">
    <pivotField axis="axisRow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2" showAll="0"/>
    <pivotField showAll="0"/>
    <pivotField showAll="0"/>
    <pivotField showAll="0"/>
    <pivotField dataField="1" numFmtId="2" showAll="0"/>
    <pivotField dataField="1" showAll="0"/>
    <pivotField dataField="1" showAll="0"/>
    <pivotField dataField="1" showAll="0"/>
    <pivotField numFmtId="2" showAll="0"/>
    <pivotField numFmtId="2" showAll="0"/>
    <pivotField showAll="0"/>
    <pivotField showAll="0"/>
    <pivotField showAll="0"/>
    <pivotField numFmtId="2" showAll="0"/>
    <pivotField showAll="0"/>
    <pivotField showAll="0"/>
    <pivotField showAll="0"/>
    <pivotField showAll="0"/>
    <pivotField numFmtId="164" showAll="0"/>
    <pivotField axis="axisRow" showAll="0" defaultSubtotal="0">
      <items count="6">
        <item sd="0" x="0"/>
        <item x="1"/>
        <item x="2"/>
        <item x="3"/>
        <item x="4"/>
        <item sd="0" x="5"/>
      </items>
    </pivotField>
    <pivotField axis="axisRow" showAll="0" defaultSubtotal="0">
      <items count="5">
        <item sd="0" x="0"/>
        <item x="1"/>
        <item x="2"/>
        <item x="3"/>
        <item sd="0" x="4"/>
      </items>
    </pivotField>
  </pivotFields>
  <rowFields count="3">
    <field x="43"/>
    <field x="42"/>
    <field x="0"/>
  </rowFields>
  <rowItems count="52">
    <i>
      <x v="1"/>
    </i>
    <i r="1">
      <x v="1"/>
    </i>
    <i r="2">
      <x v="1"/>
    </i>
    <i r="2">
      <x v="2"/>
    </i>
    <i r="2">
      <x v="3"/>
    </i>
    <i r="1">
      <x v="2"/>
    </i>
    <i r="2">
      <x v="4"/>
    </i>
    <i r="2">
      <x v="5"/>
    </i>
    <i r="2">
      <x v="6"/>
    </i>
    <i r="1">
      <x v="3"/>
    </i>
    <i r="2">
      <x v="7"/>
    </i>
    <i r="2">
      <x v="8"/>
    </i>
    <i r="2">
      <x v="9"/>
    </i>
    <i r="1">
      <x v="4"/>
    </i>
    <i r="2">
      <x v="10"/>
    </i>
    <i r="2">
      <x v="11"/>
    </i>
    <i r="2">
      <x v="12"/>
    </i>
    <i>
      <x v="2"/>
    </i>
    <i r="1">
      <x v="1"/>
    </i>
    <i r="2">
      <x v="1"/>
    </i>
    <i r="2">
      <x v="2"/>
    </i>
    <i r="2">
      <x v="3"/>
    </i>
    <i r="1">
      <x v="2"/>
    </i>
    <i r="2">
      <x v="4"/>
    </i>
    <i r="2">
      <x v="5"/>
    </i>
    <i r="2">
      <x v="6"/>
    </i>
    <i r="1">
      <x v="3"/>
    </i>
    <i r="2">
      <x v="7"/>
    </i>
    <i r="2">
      <x v="8"/>
    </i>
    <i r="2">
      <x v="9"/>
    </i>
    <i r="1">
      <x v="4"/>
    </i>
    <i r="2">
      <x v="10"/>
    </i>
    <i r="2">
      <x v="11"/>
    </i>
    <i r="2">
      <x v="12"/>
    </i>
    <i>
      <x v="3"/>
    </i>
    <i r="1">
      <x v="1"/>
    </i>
    <i r="2">
      <x v="1"/>
    </i>
    <i r="2">
      <x v="2"/>
    </i>
    <i r="2">
      <x v="3"/>
    </i>
    <i r="1">
      <x v="2"/>
    </i>
    <i r="2">
      <x v="4"/>
    </i>
    <i r="2">
      <x v="5"/>
    </i>
    <i r="2">
      <x v="6"/>
    </i>
    <i r="1">
      <x v="3"/>
    </i>
    <i r="2">
      <x v="7"/>
    </i>
    <i r="2">
      <x v="8"/>
    </i>
    <i r="2">
      <x v="9"/>
    </i>
    <i r="1">
      <x v="4"/>
    </i>
    <i r="2">
      <x v="10"/>
    </i>
    <i r="2">
      <x v="11"/>
    </i>
    <i r="2">
      <x v="1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Съотношение Мляко/Фураж" fld="27" baseField="0" baseItem="0"/>
    <dataField name="Намалени приходи" fld="28" baseField="0" baseItem="0"/>
    <dataField name="Устойчиви приходи" fld="29" baseField="0" baseItem="0"/>
    <dataField name="Повишени приходи" fld="30" baseField="0" baseItem="0"/>
  </dataFields>
  <chartFormats count="8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2" format="8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9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2" format="10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2" format="1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BE95475-D32D-47EA-BC05-246DB3007DEE}" name="Обобщена таблица7" cacheId="0" applyNumberFormats="0" applyBorderFormats="0" applyFontFormats="0" applyPatternFormats="0" applyAlignmentFormats="0" applyWidthHeightFormats="1" dataCaption="Стойности" updatedVersion="8" minRefreshableVersion="3" useAutoFormatting="1" itemPrintTitles="1" createdVersion="6" indent="0" outline="1" outlineData="1" multipleFieldFilters="0" chartFormat="11">
  <location ref="A3:F19" firstHeaderRow="0" firstDataRow="1" firstDataCol="1"/>
  <pivotFields count="44">
    <pivotField axis="axisRow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2" showAll="0"/>
    <pivotField showAll="0"/>
    <pivotField showAll="0"/>
    <pivotField showAll="0"/>
    <pivotField numFmtId="2" showAll="0"/>
    <pivotField showAll="0"/>
    <pivotField showAll="0"/>
    <pivotField showAll="0"/>
    <pivotField dataField="1" numFmtId="2" showAll="0"/>
    <pivotField dataField="1" numFmtId="2" showAll="0"/>
    <pivotField dataField="1" showAll="0"/>
    <pivotField dataField="1" showAll="0"/>
    <pivotField dataField="1" showAll="0"/>
    <pivotField numFmtId="2" showAll="0"/>
    <pivotField showAll="0"/>
    <pivotField showAll="0"/>
    <pivotField showAll="0"/>
    <pivotField showAll="0"/>
    <pivotField numFmtId="164" showAll="0"/>
    <pivotField axis="axisRow" showAll="0" defaultSubtotal="0">
      <items count="6">
        <item sd="0" x="0"/>
        <item sd="0" x="1"/>
        <item sd="0" x="2"/>
        <item sd="0" x="3"/>
        <item sd="0" x="4"/>
        <item sd="0" x="5"/>
      </items>
    </pivotField>
    <pivotField axis="axisRow" showAll="0" defaultSubtotal="0">
      <items count="5">
        <item sd="0" x="0"/>
        <item x="1"/>
        <item x="2"/>
        <item x="3"/>
        <item sd="0" x="4"/>
      </items>
    </pivotField>
  </pivotFields>
  <rowFields count="3">
    <field x="43"/>
    <field x="42"/>
    <field x="0"/>
  </rowFields>
  <rowItems count="16">
    <i>
      <x v="1"/>
    </i>
    <i r="1">
      <x v="1"/>
    </i>
    <i r="1">
      <x v="2"/>
    </i>
    <i r="1">
      <x v="3"/>
    </i>
    <i r="1">
      <x v="4"/>
    </i>
    <i>
      <x v="2"/>
    </i>
    <i r="1">
      <x v="1"/>
    </i>
    <i r="1">
      <x v="2"/>
    </i>
    <i r="1">
      <x v="3"/>
    </i>
    <i r="1">
      <x v="4"/>
    </i>
    <i>
      <x v="3"/>
    </i>
    <i r="1">
      <x v="1"/>
    </i>
    <i r="1">
      <x v="2"/>
    </i>
    <i r="1">
      <x v="3"/>
    </i>
    <i r="1">
      <x v="4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Съот. печалба/приход" fld="31" baseField="0" baseItem="0"/>
    <dataField name="Ниска Печалба" fld="33" baseField="0" baseItem="0"/>
    <dataField name="Средна Печалба" fld="34" baseField="0" baseItem="0"/>
    <dataField name="Висока Печалба" fld="35" baseField="0" baseItem="0"/>
    <dataField name="Сума от Загуби" fld="32" baseField="0" baseItem="0"/>
  </dataFields>
  <formats count="15">
    <format dxfId="67">
      <pivotArea field="43" grandRow="1" outline="0" collapsedLevelsAreSubtotals="1" axis="axisRow" fieldPosition="0">
        <references count="1">
          <reference field="4294967294" count="1" selected="0">
            <x v="0"/>
          </reference>
        </references>
      </pivotArea>
    </format>
    <format dxfId="66">
      <pivotArea collapsedLevelsAreSubtotals="1" fieldPosition="0">
        <references count="2">
          <reference field="42" count="1">
            <x v="1"/>
          </reference>
          <reference field="43" count="1" selected="0">
            <x v="1"/>
          </reference>
        </references>
      </pivotArea>
    </format>
    <format dxfId="65">
      <pivotArea collapsedLevelsAreSubtotals="1" fieldPosition="0">
        <references count="2">
          <reference field="42" count="1">
            <x v="2"/>
          </reference>
          <reference field="43" count="1" selected="0">
            <x v="1"/>
          </reference>
        </references>
      </pivotArea>
    </format>
    <format dxfId="64">
      <pivotArea collapsedLevelsAreSubtotals="1" fieldPosition="0">
        <references count="2">
          <reference field="42" count="1">
            <x v="3"/>
          </reference>
          <reference field="43" count="1" selected="0">
            <x v="1"/>
          </reference>
        </references>
      </pivotArea>
    </format>
    <format dxfId="63">
      <pivotArea collapsedLevelsAreSubtotals="1" fieldPosition="0">
        <references count="2">
          <reference field="42" count="1">
            <x v="4"/>
          </reference>
          <reference field="43" count="1" selected="0">
            <x v="1"/>
          </reference>
        </references>
      </pivotArea>
    </format>
    <format dxfId="62">
      <pivotArea collapsedLevelsAreSubtotals="1" fieldPosition="0">
        <references count="1">
          <reference field="43" count="1">
            <x v="2"/>
          </reference>
        </references>
      </pivotArea>
    </format>
    <format dxfId="61">
      <pivotArea collapsedLevelsAreSubtotals="1" fieldPosition="0">
        <references count="2">
          <reference field="42" count="1">
            <x v="1"/>
          </reference>
          <reference field="43" count="1" selected="0">
            <x v="2"/>
          </reference>
        </references>
      </pivotArea>
    </format>
    <format dxfId="60">
      <pivotArea collapsedLevelsAreSubtotals="1" fieldPosition="0">
        <references count="2">
          <reference field="42" count="1">
            <x v="2"/>
          </reference>
          <reference field="43" count="1" selected="0">
            <x v="2"/>
          </reference>
        </references>
      </pivotArea>
    </format>
    <format dxfId="59">
      <pivotArea collapsedLevelsAreSubtotals="1" fieldPosition="0">
        <references count="2">
          <reference field="42" count="1">
            <x v="3"/>
          </reference>
          <reference field="43" count="1" selected="0">
            <x v="2"/>
          </reference>
        </references>
      </pivotArea>
    </format>
    <format dxfId="58">
      <pivotArea collapsedLevelsAreSubtotals="1" fieldPosition="0">
        <references count="2">
          <reference field="42" count="1">
            <x v="4"/>
          </reference>
          <reference field="43" count="1" selected="0">
            <x v="2"/>
          </reference>
        </references>
      </pivotArea>
    </format>
    <format dxfId="57">
      <pivotArea collapsedLevelsAreSubtotals="1" fieldPosition="0">
        <references count="1">
          <reference field="43" count="1">
            <x v="3"/>
          </reference>
        </references>
      </pivotArea>
    </format>
    <format dxfId="56">
      <pivotArea collapsedLevelsAreSubtotals="1" fieldPosition="0">
        <references count="2">
          <reference field="42" count="1">
            <x v="1"/>
          </reference>
          <reference field="43" count="1" selected="0">
            <x v="3"/>
          </reference>
        </references>
      </pivotArea>
    </format>
    <format dxfId="55">
      <pivotArea collapsedLevelsAreSubtotals="1" fieldPosition="0">
        <references count="2">
          <reference field="42" count="1">
            <x v="2"/>
          </reference>
          <reference field="43" count="1" selected="0">
            <x v="3"/>
          </reference>
        </references>
      </pivotArea>
    </format>
    <format dxfId="54">
      <pivotArea collapsedLevelsAreSubtotals="1" fieldPosition="0">
        <references count="2">
          <reference field="42" count="1">
            <x v="3"/>
          </reference>
          <reference field="43" count="1" selected="0">
            <x v="3"/>
          </reference>
        </references>
      </pivotArea>
    </format>
    <format dxfId="53">
      <pivotArea collapsedLevelsAreSubtotals="1" fieldPosition="0">
        <references count="2">
          <reference field="42" count="1">
            <x v="4"/>
          </reference>
          <reference field="43" count="1" selected="0">
            <x v="3"/>
          </reference>
        </references>
      </pivotArea>
    </format>
  </formats>
  <chartFormats count="20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0" format="4" series="1">
      <pivotArea type="data" outline="0" fieldPosition="0">
        <references count="1">
          <reference field="4294967294" count="1" selected="0">
            <x v="4"/>
          </reference>
        </references>
      </pivotArea>
    </chartFormat>
    <chartFormat chart="2" format="10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11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2" format="12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2" format="13" series="1">
      <pivotArea type="data" outline="0" fieldPosition="0">
        <references count="1">
          <reference field="4294967294" count="1" selected="0">
            <x v="4"/>
          </reference>
        </references>
      </pivotArea>
    </chartFormat>
    <chartFormat chart="2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" format="6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3" format="7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3" format="8" series="1">
      <pivotArea type="data" outline="0" fieldPosition="0">
        <references count="1">
          <reference field="4294967294" count="1" selected="0">
            <x v="4"/>
          </reference>
        </references>
      </pivotArea>
    </chartFormat>
    <chartFormat chart="3" format="9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10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6" format="11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6" format="12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6" format="13" series="1">
      <pivotArea type="data" outline="0" fieldPosition="0">
        <references count="1">
          <reference field="4294967294" count="1" selected="0">
            <x v="4"/>
          </reference>
        </references>
      </pivotArea>
    </chartFormat>
    <chartFormat chart="6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7C9431B-F5D0-4048-AA28-697BB31367D7}" name="Обобщена таблица1" cacheId="0" applyNumberFormats="0" applyBorderFormats="0" applyFontFormats="0" applyPatternFormats="0" applyAlignmentFormats="0" applyWidthHeightFormats="1" dataCaption="Стойности" updatedVersion="8" minRefreshableVersion="3" useAutoFormatting="1" itemPrintTitles="1" createdVersion="6" indent="0" outline="1" outlineData="1" multipleFieldFilters="0" chartFormat="6">
  <location ref="A3:F19" firstHeaderRow="0" firstDataRow="1" firstDataCol="1"/>
  <pivotFields count="44">
    <pivotField axis="axisRow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2" showAll="0"/>
    <pivotField showAll="0"/>
    <pivotField showAll="0"/>
    <pivotField showAll="0"/>
    <pivotField numFmtId="2" showAll="0"/>
    <pivotField showAll="0"/>
    <pivotField showAll="0"/>
    <pivotField showAll="0"/>
    <pivotField numFmtId="2" showAll="0"/>
    <pivotField numFmtId="2" showAll="0"/>
    <pivotField showAll="0"/>
    <pivotField showAll="0"/>
    <pivotField showAll="0"/>
    <pivotField dataField="1" numFmtId="2" showAll="0"/>
    <pivotField dataField="1" showAll="0"/>
    <pivotField dataField="1" showAll="0"/>
    <pivotField dataField="1" showAll="0"/>
    <pivotField dataField="1" showAll="0"/>
    <pivotField numFmtId="164" showAll="0"/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6">
        <item sd="0" x="0"/>
        <item x="1"/>
        <item x="2"/>
        <item x="3"/>
        <item sd="0" x="4"/>
        <item t="default"/>
      </items>
    </pivotField>
  </pivotFields>
  <rowFields count="3">
    <field x="43"/>
    <field x="42"/>
    <field x="0"/>
  </rowFields>
  <rowItems count="16">
    <i>
      <x v="1"/>
    </i>
    <i r="1">
      <x v="1"/>
    </i>
    <i r="1">
      <x v="2"/>
    </i>
    <i r="1">
      <x v="3"/>
    </i>
    <i r="1">
      <x v="4"/>
    </i>
    <i>
      <x v="2"/>
    </i>
    <i r="1">
      <x v="1"/>
    </i>
    <i r="1">
      <x v="2"/>
    </i>
    <i r="1">
      <x v="3"/>
    </i>
    <i r="1">
      <x v="4"/>
    </i>
    <i>
      <x v="3"/>
    </i>
    <i r="1">
      <x v="1"/>
    </i>
    <i r="1">
      <x v="2"/>
    </i>
    <i r="1">
      <x v="3"/>
    </i>
    <i r="1">
      <x v="4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Средно от Печалба/литър" fld="36" subtotal="average" baseField="42" baseItem="1"/>
    <dataField name="Средно от Ниски" fld="38" subtotal="average" baseField="41" baseItem="2"/>
    <dataField name="Средно от Загуби_литър" fld="37" subtotal="average" baseField="41" baseItem="2"/>
    <dataField name="Средно от Средни" fld="39" subtotal="average" baseField="41" baseItem="2"/>
    <dataField name="Средно от Високи" fld="40" subtotal="average" baseField="41" baseItem="2"/>
  </dataFields>
  <formats count="1">
    <format dxfId="52">
      <pivotArea outline="0" collapsedLevelsAreSubtotals="1" fieldPosition="0"/>
    </format>
  </formats>
  <chartFormats count="10">
    <chartFormat chart="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1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2" format="4" series="1">
      <pivotArea type="data" outline="0" fieldPosition="0">
        <references count="1">
          <reference field="4294967294" count="1" selected="0">
            <x v="4"/>
          </reference>
        </references>
      </pivotArea>
    </chartFormat>
    <chartFormat chart="4" format="10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4" format="11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4" format="12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4" format="13" series="1">
      <pivotArea type="data" outline="0" fieldPosition="0">
        <references count="1">
          <reference field="4294967294" count="1" selected="0">
            <x v="4"/>
          </reference>
        </references>
      </pivotArea>
    </chartFormat>
    <chartFormat chart="4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F868034-0339-481C-BB01-DB2C81294859}" name="Обобщена таблица2" cacheId="0" applyNumberFormats="0" applyBorderFormats="0" applyFontFormats="0" applyPatternFormats="0" applyAlignmentFormats="0" applyWidthHeightFormats="1" dataCaption="Стойности" updatedVersion="6" minRefreshableVersion="3" useAutoFormatting="1" itemPrintTitles="1" createdVersion="6" indent="0" outline="1" outlineData="1" multipleFieldFilters="0">
  <location ref="A3:A7" firstHeaderRow="1" firstDataRow="1" firstDataCol="1"/>
  <pivotFields count="44">
    <pivotField axis="axisRow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2" showAll="0"/>
    <pivotField showAll="0"/>
    <pivotField showAll="0"/>
    <pivotField showAll="0"/>
    <pivotField numFmtId="2" showAll="0"/>
    <pivotField showAll="0"/>
    <pivotField showAll="0"/>
    <pivotField showAll="0"/>
    <pivotField numFmtId="2" showAll="0"/>
    <pivotField numFmtId="2" showAll="0"/>
    <pivotField showAll="0"/>
    <pivotField showAll="0"/>
    <pivotField showAll="0"/>
    <pivotField numFmtId="2" showAll="0"/>
    <pivotField showAll="0"/>
    <pivotField showAll="0"/>
    <pivotField showAll="0"/>
    <pivotField showAll="0"/>
    <pivotField numFmtId="164" showAll="0"/>
    <pivotField axis="axisRow" showAll="0" defaultSubtotal="0">
      <items count="6">
        <item sd="0" x="0"/>
        <item sd="0" x="1"/>
        <item sd="0" x="2"/>
        <item sd="0" x="3"/>
        <item sd="0" x="4"/>
        <item sd="0" x="5"/>
      </items>
    </pivotField>
    <pivotField axis="axisRow" showAll="0" defaultSubtotal="0">
      <items count="5">
        <item sd="0" x="0"/>
        <item sd="0" x="1"/>
        <item sd="0" x="2"/>
        <item sd="0" x="3"/>
        <item sd="0" x="4"/>
      </items>
    </pivotField>
  </pivotFields>
  <rowFields count="3">
    <field x="43"/>
    <field x="42"/>
    <field x="0"/>
  </rowFields>
  <rowItems count="4">
    <i>
      <x v="1"/>
    </i>
    <i>
      <x v="2"/>
    </i>
    <i>
      <x v="3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4EF869A-FB18-4FAF-BADC-576F773BAF72}" name="Обобщена таблица4" cacheId="0" applyNumberFormats="0" applyBorderFormats="0" applyFontFormats="0" applyPatternFormats="0" applyAlignmentFormats="0" applyWidthHeightFormats="1" dataCaption="Стойности" updatedVersion="6" minRefreshableVersion="3" useAutoFormatting="1" itemPrintTitles="1" createdVersion="6" indent="0" outline="1" outlineData="1" multipleFieldFilters="0" chartFormat="3">
  <location ref="A3:F19" firstHeaderRow="0" firstDataRow="1" firstDataCol="1"/>
  <pivotFields count="44">
    <pivotField axis="axisRow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2" showAll="0"/>
    <pivotField showAll="0"/>
    <pivotField showAll="0"/>
    <pivotField showAll="0"/>
    <pivotField numFmtId="2" showAll="0"/>
    <pivotField showAll="0"/>
    <pivotField showAll="0"/>
    <pivotField showAll="0"/>
    <pivotField numFmtId="2" showAll="0"/>
    <pivotField numFmtId="2" showAll="0"/>
    <pivotField showAll="0"/>
    <pivotField showAll="0"/>
    <pivotField showAll="0"/>
    <pivotField dataField="1" numFmtId="2" showAll="0"/>
    <pivotField dataField="1" showAll="0"/>
    <pivotField dataField="1" showAll="0"/>
    <pivotField dataField="1" showAll="0"/>
    <pivotField dataField="1" showAll="0"/>
    <pivotField numFmtId="164" showAll="0"/>
    <pivotField axis="axisRow" showAll="0" defaultSubtotal="0">
      <items count="6">
        <item sd="0" x="0"/>
        <item sd="0" x="1"/>
        <item sd="0" x="2"/>
        <item sd="0" x="3"/>
        <item sd="0" x="4"/>
        <item sd="0" x="5"/>
      </items>
    </pivotField>
    <pivotField axis="axisRow" showAll="0" defaultSubtotal="0">
      <items count="5">
        <item sd="0" x="0"/>
        <item x="1"/>
        <item x="2"/>
        <item x="3"/>
        <item sd="0" x="4"/>
      </items>
    </pivotField>
  </pivotFields>
  <rowFields count="3">
    <field x="43"/>
    <field x="42"/>
    <field x="0"/>
  </rowFields>
  <rowItems count="16">
    <i>
      <x v="1"/>
    </i>
    <i r="1">
      <x v="1"/>
    </i>
    <i r="1">
      <x v="2"/>
    </i>
    <i r="1">
      <x v="3"/>
    </i>
    <i r="1">
      <x v="4"/>
    </i>
    <i>
      <x v="2"/>
    </i>
    <i r="1">
      <x v="1"/>
    </i>
    <i r="1">
      <x v="2"/>
    </i>
    <i r="1">
      <x v="3"/>
    </i>
    <i r="1">
      <x v="4"/>
    </i>
    <i>
      <x v="3"/>
    </i>
    <i r="1">
      <x v="1"/>
    </i>
    <i r="1">
      <x v="2"/>
    </i>
    <i r="1">
      <x v="3"/>
    </i>
    <i r="1">
      <x v="4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Средно от Загуби_литър" fld="37" subtotal="average" baseField="42" baseItem="1"/>
    <dataField name="Средно от Ниски" fld="38" subtotal="average" baseField="42" baseItem="1"/>
    <dataField name="Средно от Печалба/литър" fld="36" subtotal="average" baseField="42" baseItem="1"/>
    <dataField name="Средно от Средни" fld="39" subtotal="average" baseField="42" baseItem="1"/>
    <dataField name="Средно от Високи" fld="40" subtotal="average" baseField="42" baseItem="1"/>
  </dataFields>
  <formats count="15">
    <format dxfId="51">
      <pivotArea collapsedLevelsAreSubtotals="1" fieldPosition="0">
        <references count="2">
          <reference field="42" count="1">
            <x v="1"/>
          </reference>
          <reference field="43" count="1" selected="0">
            <x v="1"/>
          </reference>
        </references>
      </pivotArea>
    </format>
    <format dxfId="50">
      <pivotArea collapsedLevelsAreSubtotals="1" fieldPosition="0">
        <references count="2">
          <reference field="42" count="1">
            <x v="2"/>
          </reference>
          <reference field="43" count="1" selected="0">
            <x v="1"/>
          </reference>
        </references>
      </pivotArea>
    </format>
    <format dxfId="49">
      <pivotArea collapsedLevelsAreSubtotals="1" fieldPosition="0">
        <references count="2">
          <reference field="42" count="1">
            <x v="3"/>
          </reference>
          <reference field="43" count="1" selected="0">
            <x v="1"/>
          </reference>
        </references>
      </pivotArea>
    </format>
    <format dxfId="48">
      <pivotArea collapsedLevelsAreSubtotals="1" fieldPosition="0">
        <references count="2">
          <reference field="42" count="1">
            <x v="4"/>
          </reference>
          <reference field="43" count="1" selected="0">
            <x v="1"/>
          </reference>
        </references>
      </pivotArea>
    </format>
    <format dxfId="47">
      <pivotArea collapsedLevelsAreSubtotals="1" fieldPosition="0">
        <references count="1">
          <reference field="43" count="1">
            <x v="2"/>
          </reference>
        </references>
      </pivotArea>
    </format>
    <format dxfId="46">
      <pivotArea collapsedLevelsAreSubtotals="1" fieldPosition="0">
        <references count="2">
          <reference field="42" count="1">
            <x v="1"/>
          </reference>
          <reference field="43" count="1" selected="0">
            <x v="2"/>
          </reference>
        </references>
      </pivotArea>
    </format>
    <format dxfId="45">
      <pivotArea collapsedLevelsAreSubtotals="1" fieldPosition="0">
        <references count="2">
          <reference field="42" count="1">
            <x v="2"/>
          </reference>
          <reference field="43" count="1" selected="0">
            <x v="2"/>
          </reference>
        </references>
      </pivotArea>
    </format>
    <format dxfId="44">
      <pivotArea collapsedLevelsAreSubtotals="1" fieldPosition="0">
        <references count="2">
          <reference field="42" count="1">
            <x v="3"/>
          </reference>
          <reference field="43" count="1" selected="0">
            <x v="2"/>
          </reference>
        </references>
      </pivotArea>
    </format>
    <format dxfId="43">
      <pivotArea collapsedLevelsAreSubtotals="1" fieldPosition="0">
        <references count="2">
          <reference field="42" count="1">
            <x v="4"/>
          </reference>
          <reference field="43" count="1" selected="0">
            <x v="2"/>
          </reference>
        </references>
      </pivotArea>
    </format>
    <format dxfId="42">
      <pivotArea collapsedLevelsAreSubtotals="1" fieldPosition="0">
        <references count="1">
          <reference field="43" count="1">
            <x v="3"/>
          </reference>
        </references>
      </pivotArea>
    </format>
    <format dxfId="41">
      <pivotArea collapsedLevelsAreSubtotals="1" fieldPosition="0">
        <references count="2">
          <reference field="42" count="1">
            <x v="1"/>
          </reference>
          <reference field="43" count="1" selected="0">
            <x v="3"/>
          </reference>
        </references>
      </pivotArea>
    </format>
    <format dxfId="40">
      <pivotArea collapsedLevelsAreSubtotals="1" fieldPosition="0">
        <references count="2">
          <reference field="42" count="1">
            <x v="2"/>
          </reference>
          <reference field="43" count="1" selected="0">
            <x v="3"/>
          </reference>
        </references>
      </pivotArea>
    </format>
    <format dxfId="39">
      <pivotArea collapsedLevelsAreSubtotals="1" fieldPosition="0">
        <references count="2">
          <reference field="42" count="1">
            <x v="3"/>
          </reference>
          <reference field="43" count="1" selected="0">
            <x v="3"/>
          </reference>
        </references>
      </pivotArea>
    </format>
    <format dxfId="38">
      <pivotArea collapsedLevelsAreSubtotals="1" fieldPosition="0">
        <references count="2">
          <reference field="42" count="1">
            <x v="4"/>
          </reference>
          <reference field="43" count="1" selected="0">
            <x v="3"/>
          </reference>
        </references>
      </pivotArea>
    </format>
    <format dxfId="37">
      <pivotArea grandRow="1" outline="0" collapsedLevelsAreSubtotals="1" fieldPosition="0"/>
    </format>
  </formats>
  <chartFormats count="5">
    <chartFormat chart="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2" format="6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2" format="7" series="1">
      <pivotArea type="data" outline="0" fieldPosition="0">
        <references count="1">
          <reference field="4294967294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7E2F60C-99CD-4B0C-B1BA-D1E70CFE3FEE}" name="Обобщена таблица7" cacheId="0" applyNumberFormats="0" applyBorderFormats="0" applyFontFormats="0" applyPatternFormats="0" applyAlignmentFormats="0" applyWidthHeightFormats="1" dataCaption="Стойности" grandTotalCaption="Средна стойност" updatedVersion="8" minRefreshableVersion="3" useAutoFormatting="1" itemPrintTitles="1" createdVersion="6" indent="0" outline="1" outlineData="1" multipleFieldFilters="0" chartFormat="8">
  <location ref="A3:B19" firstHeaderRow="1" firstDataRow="1" firstDataCol="1"/>
  <pivotFields count="44">
    <pivotField axis="axisRow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2" showAll="0"/>
    <pivotField showAll="0"/>
    <pivotField showAll="0"/>
    <pivotField showAll="0"/>
    <pivotField numFmtId="2" showAll="0"/>
    <pivotField showAll="0"/>
    <pivotField showAll="0"/>
    <pivotField showAll="0"/>
    <pivotField numFmtId="2" showAll="0"/>
    <pivotField numFmtId="2" showAll="0"/>
    <pivotField showAll="0"/>
    <pivotField showAll="0"/>
    <pivotField showAll="0"/>
    <pivotField numFmtId="2" showAll="0"/>
    <pivotField showAll="0"/>
    <pivotField showAll="0"/>
    <pivotField showAll="0"/>
    <pivotField showAll="0"/>
    <pivotField dataField="1" numFmtId="164" showAll="0"/>
    <pivotField axis="axisRow" showAll="0" defaultSubtotal="0">
      <items count="6">
        <item sd="0" x="0"/>
        <item sd="0" x="1"/>
        <item sd="0" x="2"/>
        <item sd="0" x="3"/>
        <item sd="0" x="4"/>
        <item sd="0" x="5"/>
      </items>
    </pivotField>
    <pivotField axis="axisRow" showAll="0" defaultSubtotal="0">
      <items count="5">
        <item sd="0" x="0"/>
        <item x="1"/>
        <item x="2"/>
        <item x="3"/>
        <item sd="0" x="4"/>
      </items>
    </pivotField>
  </pivotFields>
  <rowFields count="3">
    <field x="43"/>
    <field x="42"/>
    <field x="0"/>
  </rowFields>
  <rowItems count="16">
    <i>
      <x v="1"/>
    </i>
    <i r="1">
      <x v="1"/>
    </i>
    <i r="1">
      <x v="2"/>
    </i>
    <i r="1">
      <x v="3"/>
    </i>
    <i r="1">
      <x v="4"/>
    </i>
    <i>
      <x v="2"/>
    </i>
    <i r="1">
      <x v="1"/>
    </i>
    <i r="1">
      <x v="2"/>
    </i>
    <i r="1">
      <x v="3"/>
    </i>
    <i r="1">
      <x v="4"/>
    </i>
    <i>
      <x v="3"/>
    </i>
    <i r="1">
      <x v="1"/>
    </i>
    <i r="1">
      <x v="2"/>
    </i>
    <i r="1">
      <x v="3"/>
    </i>
    <i r="1">
      <x v="4"/>
    </i>
    <i t="grand">
      <x/>
    </i>
  </rowItems>
  <colItems count="1">
    <i/>
  </colItems>
  <dataFields count="1">
    <dataField name="Средно от СР. ЦЕНА" fld="41" subtotal="average" baseField="43" baseItem="0" numFmtId="164"/>
  </dataFields>
  <formats count="17">
    <format dxfId="36">
      <pivotArea collapsedLevelsAreSubtotals="1" fieldPosition="0">
        <references count="2">
          <reference field="42" count="1">
            <x v="1"/>
          </reference>
          <reference field="43" count="1" selected="0">
            <x v="1"/>
          </reference>
        </references>
      </pivotArea>
    </format>
    <format dxfId="35">
      <pivotArea collapsedLevelsAreSubtotals="1" fieldPosition="0">
        <references count="2">
          <reference field="42" count="1">
            <x v="2"/>
          </reference>
          <reference field="43" count="1" selected="0">
            <x v="1"/>
          </reference>
        </references>
      </pivotArea>
    </format>
    <format dxfId="34">
      <pivotArea collapsedLevelsAreSubtotals="1" fieldPosition="0">
        <references count="2">
          <reference field="42" count="1">
            <x v="3"/>
          </reference>
          <reference field="43" count="1" selected="0">
            <x v="1"/>
          </reference>
        </references>
      </pivotArea>
    </format>
    <format dxfId="33">
      <pivotArea collapsedLevelsAreSubtotals="1" fieldPosition="0">
        <references count="2">
          <reference field="42" count="1">
            <x v="4"/>
          </reference>
          <reference field="43" count="1" selected="0">
            <x v="1"/>
          </reference>
        </references>
      </pivotArea>
    </format>
    <format dxfId="32">
      <pivotArea collapsedLevelsAreSubtotals="1" fieldPosition="0">
        <references count="1">
          <reference field="43" count="1">
            <x v="2"/>
          </reference>
        </references>
      </pivotArea>
    </format>
    <format dxfId="31">
      <pivotArea collapsedLevelsAreSubtotals="1" fieldPosition="0">
        <references count="2">
          <reference field="42" count="1">
            <x v="1"/>
          </reference>
          <reference field="43" count="1" selected="0">
            <x v="2"/>
          </reference>
        </references>
      </pivotArea>
    </format>
    <format dxfId="30">
      <pivotArea collapsedLevelsAreSubtotals="1" fieldPosition="0">
        <references count="2">
          <reference field="42" count="1">
            <x v="2"/>
          </reference>
          <reference field="43" count="1" selected="0">
            <x v="2"/>
          </reference>
        </references>
      </pivotArea>
    </format>
    <format dxfId="29">
      <pivotArea collapsedLevelsAreSubtotals="1" fieldPosition="0">
        <references count="2">
          <reference field="42" count="1">
            <x v="3"/>
          </reference>
          <reference field="43" count="1" selected="0">
            <x v="2"/>
          </reference>
        </references>
      </pivotArea>
    </format>
    <format dxfId="28">
      <pivotArea collapsedLevelsAreSubtotals="1" fieldPosition="0">
        <references count="2">
          <reference field="42" count="1">
            <x v="4"/>
          </reference>
          <reference field="43" count="1" selected="0">
            <x v="2"/>
          </reference>
        </references>
      </pivotArea>
    </format>
    <format dxfId="27">
      <pivotArea collapsedLevelsAreSubtotals="1" fieldPosition="0">
        <references count="1">
          <reference field="43" count="1">
            <x v="3"/>
          </reference>
        </references>
      </pivotArea>
    </format>
    <format dxfId="26">
      <pivotArea collapsedLevelsAreSubtotals="1" fieldPosition="0">
        <references count="2">
          <reference field="42" count="1">
            <x v="1"/>
          </reference>
          <reference field="43" count="1" selected="0">
            <x v="3"/>
          </reference>
        </references>
      </pivotArea>
    </format>
    <format dxfId="25">
      <pivotArea collapsedLevelsAreSubtotals="1" fieldPosition="0">
        <references count="2">
          <reference field="42" count="1">
            <x v="2"/>
          </reference>
          <reference field="43" count="1" selected="0">
            <x v="3"/>
          </reference>
        </references>
      </pivotArea>
    </format>
    <format dxfId="24">
      <pivotArea collapsedLevelsAreSubtotals="1" fieldPosition="0">
        <references count="2">
          <reference field="42" count="1">
            <x v="3"/>
          </reference>
          <reference field="43" count="1" selected="0">
            <x v="3"/>
          </reference>
        </references>
      </pivotArea>
    </format>
    <format dxfId="23">
      <pivotArea collapsedLevelsAreSubtotals="1" fieldPosition="0">
        <references count="2">
          <reference field="42" count="1">
            <x v="4"/>
          </reference>
          <reference field="43" count="1" selected="0">
            <x v="3"/>
          </reference>
        </references>
      </pivotArea>
    </format>
    <format dxfId="22">
      <pivotArea grandRow="1" outline="0" collapsedLevelsAreSubtotals="1" fieldPosition="0"/>
    </format>
    <format dxfId="21">
      <pivotArea collapsedLevelsAreSubtotals="1" fieldPosition="0">
        <references count="1">
          <reference field="43" count="1">
            <x v="1"/>
          </reference>
        </references>
      </pivotArea>
    </format>
    <format dxfId="20">
      <pivotArea outline="0" collapsedLevelsAreSubtotals="1" fieldPosition="0"/>
    </format>
  </format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Сегментатор_Тримесечия" xr10:uid="{00000000-0013-0000-FFFF-FFFF01000000}" sourceName="Тримесечия">
  <pivotTables>
    <pivotTable tabId="2" name="Обобщена таблица1"/>
    <pivotTable tabId="7" name="Обобщена таблица4"/>
    <pivotTable tabId="6" name="Обобщена таблица3"/>
    <pivotTable tabId="13" name="Обобщена таблица7"/>
    <pivotTable tabId="16" name="Обобщена таблица1"/>
    <pivotTable tabId="22" name="Обобщена таблица7"/>
    <pivotTable tabId="4" name="Обобщена таблица2"/>
  </pivotTables>
  <data>
    <tabular pivotCacheId="503215050">
      <items count="6">
        <i x="1" s="1"/>
        <i x="2" s="1"/>
        <i x="3" s="1"/>
        <i x="4" s="1"/>
        <i x="0" s="1" nd="1"/>
        <i x="5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Сегментатор_Години" xr10:uid="{00000000-0013-0000-FFFF-FFFF02000000}" sourceName="Години">
  <pivotTables>
    <pivotTable tabId="4" name="Обобщена таблица2"/>
    <pivotTable tabId="2" name="Обобщена таблица1"/>
    <pivotTable tabId="7" name="Обобщена таблица4"/>
    <pivotTable tabId="6" name="Обобщена таблица3"/>
    <pivotTable tabId="13" name="Обобщена таблица7"/>
    <pivotTable tabId="16" name="Обобщена таблица1"/>
    <pivotTable tabId="22" name="Обобщена таблица7"/>
  </pivotTables>
  <data>
    <tabular pivotCacheId="503215050">
      <items count="5">
        <i x="1" s="1"/>
        <i x="2" s="1"/>
        <i x="3" s="1"/>
        <i x="0" s="1" nd="1"/>
        <i x="4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Тримесечия" xr10:uid="{00000000-0014-0000-FFFF-FFFF01000000}" cache="Сегментатор_Тримесечия" caption="Тримесечия" columnCount="2" rowHeight="241300"/>
  <slicer name="Години" xr10:uid="{00000000-0014-0000-FFFF-FFFF02000000}" cache="Сегментатор_Години" caption="Години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1:AP38" totalsRowCount="1">
  <autoFilter ref="A1:AP37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</autoFilter>
  <tableColumns count="42">
    <tableColumn id="1" xr3:uid="{00000000-0010-0000-0000-000001000000}" name="Дата" totalsRowLabel="Общо" dataDxfId="19"/>
    <tableColumn id="2" xr3:uid="{00000000-0010-0000-0000-000002000000}" name="Приход мляко"/>
    <tableColumn id="3" xr3:uid="{00000000-0010-0000-0000-000003000000}" name="Приход животни"/>
    <tableColumn id="4" xr3:uid="{00000000-0010-0000-0000-000004000000}" name="Приходи телета"/>
    <tableColumn id="5" xr3:uid="{00000000-0010-0000-0000-000005000000}" name="Субсидия"/>
    <tableColumn id="6" xr3:uid="{00000000-0010-0000-0000-000006000000}" name="Общи приходи" dataDxfId="18" totalsRowDxfId="17">
      <calculatedColumnFormula>SUM(B2:E2)</calculatedColumnFormula>
    </tableColumn>
    <tableColumn id="7" xr3:uid="{00000000-0010-0000-0000-000007000000}" name="Разходи лекарства"/>
    <tableColumn id="8" xr3:uid="{00000000-0010-0000-0000-000008000000}" name="Ел енергия"/>
    <tableColumn id="9" xr3:uid="{00000000-0010-0000-0000-000009000000}" name="Застраховки"/>
    <tableColumn id="10" xr3:uid="{00000000-0010-0000-0000-00000A000000}" name="Заплати + осигуровки"/>
    <tableColumn id="11" xr3:uid="{00000000-0010-0000-0000-00000B000000}" name="Кредити"/>
    <tableColumn id="12" xr3:uid="{00000000-0010-0000-0000-00000C000000}" name="Лихви кредити"/>
    <tableColumn id="13" xr3:uid="{00000000-0010-0000-0000-00000D000000}" name="Лизингови договори"/>
    <tableColumn id="14" xr3:uid="{00000000-0010-0000-0000-00000E000000}" name="Гориво"/>
    <tableColumn id="15" xr3:uid="{00000000-0010-0000-0000-00000F000000}" name="Ремонт"/>
    <tableColumn id="16" xr3:uid="{00000000-0010-0000-0000-000010000000}" name="Фуражи"/>
    <tableColumn id="17" xr3:uid="{00000000-0010-0000-0000-000011000000}" name="Семенна течност"/>
    <tableColumn id="18" xr3:uid="{00000000-0010-0000-0000-000012000000}" name="Ушни марки"/>
    <tableColumn id="19" xr3:uid="{00000000-0010-0000-0000-000013000000}" name="Други"/>
    <tableColumn id="20" xr3:uid="{00000000-0010-0000-0000-000014000000}" name="Общи разходи" dataDxfId="16" totalsRowDxfId="15">
      <calculatedColumnFormula>SUM(G2:S2)</calculatedColumnFormula>
    </tableColumn>
    <tableColumn id="21" xr3:uid="{00000000-0010-0000-0000-000015000000}" name="Печалба на месец">
      <calculatedColumnFormula>F2-T2</calculatedColumnFormula>
    </tableColumn>
    <tableColumn id="22" xr3:uid="{00000000-0010-0000-0000-000016000000}" name="Производствени разходи">
      <calculatedColumnFormula>SUM(G2,H2,J2,N2,O2,P2,Q2,R2,S2)</calculatedColumnFormula>
    </tableColumn>
    <tableColumn id="23" xr3:uid="{00000000-0010-0000-0000-000017000000}" name="Литри"/>
    <tableColumn id="24" xr3:uid="{00000000-0010-0000-0000-000018000000}" name="Произ. разходи/литър" dataDxfId="14">
      <calculatedColumnFormula>V2/W2</calculatedColumnFormula>
    </tableColumn>
    <tableColumn id="25" xr3:uid="{00000000-0010-0000-0000-000019000000}" name="Нисък"/>
    <tableColumn id="26" xr3:uid="{00000000-0010-0000-0000-00001A000000}" name="Среден"/>
    <tableColumn id="27" xr3:uid="{00000000-0010-0000-0000-00001B000000}" name="Висок"/>
    <tableColumn id="28" xr3:uid="{00000000-0010-0000-0000-00001C000000}" name="Мляко/Фураж" dataDxfId="13">
      <calculatedColumnFormula>B2/P2</calculatedColumnFormula>
    </tableColumn>
    <tableColumn id="29" xr3:uid="{00000000-0010-0000-0000-00001D000000}" name="Намален"/>
    <tableColumn id="30" xr3:uid="{00000000-0010-0000-0000-00001E000000}" name="Устойчив"/>
    <tableColumn id="31" xr3:uid="{00000000-0010-0000-0000-00001F000000}" name="Повишен"/>
    <tableColumn id="32" xr3:uid="{89FDFCBF-1AA4-4F94-B5E9-BFBF7760B0B8}" name="Печалба/приход">
      <calculatedColumnFormula>U2/F2</calculatedColumnFormula>
    </tableColumn>
    <tableColumn id="37" xr3:uid="{0EB1319C-A3B6-491C-99E6-C16217B2665B}" name="Загуби"/>
    <tableColumn id="33" xr3:uid="{487227CB-0C95-4D41-97FD-FEE967DEF3B3}" name="Ниска"/>
    <tableColumn id="34" xr3:uid="{FC2CEE13-14AB-43BA-91FB-4DEDEC3AD881}" name="Средна"/>
    <tableColumn id="35" xr3:uid="{FC2D901A-2A0C-4360-BD1F-7D88B9A62C4D}" name="Висока" totalsRowFunction="sum"/>
    <tableColumn id="36" xr3:uid="{463DAF8D-834F-4B4D-9B55-7833C925A458}" name="Печалба/литър" dataDxfId="12">
      <calculatedColumnFormula>Таблица1[[#This Row],[Печалба на месец]]/Таблица1[[#This Row],[Литри]]</calculatedColumnFormula>
    </tableColumn>
    <tableColumn id="38" xr3:uid="{B33B1CD3-759F-4BB5-8E8F-D14F9A5761B2}" name="Загуби_литър"/>
    <tableColumn id="39" xr3:uid="{07CE9EE9-A637-48DA-B377-98264677752E}" name="Ниски"/>
    <tableColumn id="40" xr3:uid="{782E3C73-DD83-46E2-8232-C48EBA2113C6}" name="Средни"/>
    <tableColumn id="41" xr3:uid="{8E7917B1-1DEA-481C-810E-3E0157AA2A3B}" name="Високи"/>
    <tableColumn id="42" xr3:uid="{CF1FD9C4-14E6-4BB1-897C-A4EF8A6E0B05}" name="СР. ЦЕНА" dataDxfId="1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EA15C74-9DDB-41D0-8F8B-DEBABD16FB46}" name="Таблица13" displayName="Таблица13" ref="A1:AA37" totalsRowShown="0">
  <autoFilter ref="A1:AA37" xr:uid="{1F0A7EFA-0E88-4C4F-8E01-B0A514F3C4C3}"/>
  <tableColumns count="27">
    <tableColumn id="1" xr3:uid="{B4BC6634-6AD1-431E-A953-E778FE02EDC2}" name="Дата" dataDxfId="10"/>
    <tableColumn id="2" xr3:uid="{08B1433B-0B80-4C4B-955C-983E1A0CBFB7}" name="Приход мляко"/>
    <tableColumn id="3" xr3:uid="{7605D46B-F76A-454B-A3B6-3C5C79D952F8}" name="Приход животни"/>
    <tableColumn id="4" xr3:uid="{AF2C624A-7D6E-4601-9C53-05A288B315A6}" name="Приходи телета"/>
    <tableColumn id="5" xr3:uid="{6F7F35E6-5D33-4862-82DC-BE38AFD7FE74}" name="Субсидия"/>
    <tableColumn id="6" xr3:uid="{0334D793-5DAA-406A-9D26-AD6178CF64B0}" name="Общи приходи" dataDxfId="9">
      <calculatedColumnFormula>SUM(B2:E2)</calculatedColumnFormula>
    </tableColumn>
    <tableColumn id="7" xr3:uid="{F5B415C9-A107-4A38-990F-A8893228333A}" name="Разходи лекарства"/>
    <tableColumn id="8" xr3:uid="{2E8B4A6F-ECA1-4F6F-B371-C0E9A69BD5F1}" name="Ел енергия"/>
    <tableColumn id="9" xr3:uid="{00306EE9-F52B-4F40-AEC6-A19974950B51}" name="Застраховни"/>
    <tableColumn id="10" xr3:uid="{4C38F970-9CD3-4746-8498-6833127A10B0}" name="Заплати + осигуровки"/>
    <tableColumn id="11" xr3:uid="{DDB97DE5-7382-4EC9-A73C-8D6340BC520A}" name="Кредити"/>
    <tableColumn id="12" xr3:uid="{FDFDECD7-7055-4F34-A4EF-806018027DDA}" name="Лихви кредити"/>
    <tableColumn id="13" xr3:uid="{7E341069-AB00-4859-A4B5-BE74ED8C361C}" name="Лизингови договори"/>
    <tableColumn id="14" xr3:uid="{54C86ABC-CEFE-4C93-A5D8-8E58EE9AB587}" name="Гориво"/>
    <tableColumn id="15" xr3:uid="{78DC1097-F0A6-467B-BFCD-AD94D7AAA05D}" name="Ремонт"/>
    <tableColumn id="16" xr3:uid="{89BF6D6B-55A8-4F70-A9FD-23CEC5F3B69F}" name="Фуражи"/>
    <tableColumn id="17" xr3:uid="{37D19B2F-B4C8-4D2F-A11B-C21AA0828F25}" name="Семенна течност"/>
    <tableColumn id="18" xr3:uid="{EE1248E9-FBF6-4C8C-9459-E580D6C84EB3}" name="Ушни марки"/>
    <tableColumn id="19" xr3:uid="{205C2B4C-6D50-4EA1-A415-55191C96CBD8}" name="Други"/>
    <tableColumn id="20" xr3:uid="{87206D18-EC1A-483A-92DF-6EAEF83D0DB5}" name="Общи разходи" dataDxfId="8">
      <calculatedColumnFormula>SUM(G2:S2)</calculatedColumnFormula>
    </tableColumn>
    <tableColumn id="21" xr3:uid="{C9A98704-8310-4ED8-9125-E817511F1CE1}" name="Печалба на месец">
      <calculatedColumnFormula>F2-T2</calculatedColumnFormula>
    </tableColumn>
    <tableColumn id="22" xr3:uid="{B1ABB840-5D7C-4186-8D52-CEB41A59C9CE}" name="Производствени разходи">
      <calculatedColumnFormula>SUM(G2,H2,J2,N2,O2,P2,Q2,R2,S2)</calculatedColumnFormula>
    </tableColumn>
    <tableColumn id="23" xr3:uid="{4BF4FFF7-EF67-40EF-A15C-E4270D9E51D5}" name="Литри"/>
    <tableColumn id="24" xr3:uid="{0C801C26-171A-4CB8-96C6-B2D1E0DC4421}" name="Произ. разходи/литър" dataDxfId="7">
      <calculatedColumnFormula>V2/W2</calculatedColumnFormula>
    </tableColumn>
    <tableColumn id="28" xr3:uid="{42ECDBD0-C26C-4EFB-9A95-EB3DE00CE4CD}" name="Мляко/Фураж" dataDxfId="6">
      <calculatedColumnFormula>B2/P2</calculatedColumnFormula>
    </tableColumn>
    <tableColumn id="32" xr3:uid="{9A90C7D8-BDF1-4392-82EA-0AE3E19D3126}" name="Печалба/приход" dataDxfId="5">
      <calculatedColumnFormula>U2/F2</calculatedColumnFormula>
    </tableColumn>
    <tableColumn id="25" xr3:uid="{93BE8F69-145C-4DD6-9257-1E76947CB48E}" name="СР. ЦЕНА" dataDxfId="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ivotTable" Target="../pivotTables/pivot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ivotTable" Target="../pivotTables/pivot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ivotTable" Target="../pivotTables/pivotTable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ivotTable" Target="../pivotTables/pivotTable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opLeftCell="A7" zoomScale="80" zoomScaleNormal="80" workbookViewId="0">
      <selection activeCell="Y19" sqref="Y19"/>
    </sheetView>
  </sheetViews>
  <sheetFormatPr defaultColWidth="9.1796875" defaultRowHeight="14.5" x14ac:dyDescent="0.35"/>
  <cols>
    <col min="1" max="26" width="9.1796875" style="5"/>
    <col min="27" max="27" width="8" style="5" customWidth="1"/>
    <col min="28" max="16384" width="9.1796875" style="5"/>
  </cols>
  <sheetData/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B7"/>
  <sheetViews>
    <sheetView workbookViewId="0">
      <selection activeCell="A4" sqref="A4:B6"/>
    </sheetView>
  </sheetViews>
  <sheetFormatPr defaultRowHeight="14.5" x14ac:dyDescent="0.35"/>
  <cols>
    <col min="1" max="1" width="12.36328125" bestFit="1" customWidth="1"/>
    <col min="2" max="2" width="23.81640625" bestFit="1" customWidth="1"/>
  </cols>
  <sheetData>
    <row r="3" spans="1:2" x14ac:dyDescent="0.35">
      <c r="A3" s="22" t="s">
        <v>104</v>
      </c>
      <c r="B3" s="23" t="s">
        <v>49</v>
      </c>
    </row>
    <row r="4" spans="1:2" x14ac:dyDescent="0.35">
      <c r="A4" s="24" t="s">
        <v>44</v>
      </c>
      <c r="B4" s="23">
        <v>323523.4200000001</v>
      </c>
    </row>
    <row r="5" spans="1:2" x14ac:dyDescent="0.35">
      <c r="A5" s="24" t="s">
        <v>88</v>
      </c>
      <c r="B5" s="23">
        <v>606906.12</v>
      </c>
    </row>
    <row r="6" spans="1:2" x14ac:dyDescent="0.35">
      <c r="A6" s="24" t="s">
        <v>89</v>
      </c>
      <c r="B6" s="23">
        <v>585119.37000000011</v>
      </c>
    </row>
    <row r="7" spans="1:2" x14ac:dyDescent="0.35">
      <c r="A7" s="28" t="s">
        <v>105</v>
      </c>
      <c r="B7" s="29">
        <v>1515548.9100000001</v>
      </c>
    </row>
  </sheetData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B55"/>
  <sheetViews>
    <sheetView topLeftCell="A5" workbookViewId="0">
      <selection activeCell="R41" sqref="R41"/>
    </sheetView>
  </sheetViews>
  <sheetFormatPr defaultRowHeight="14.5" x14ac:dyDescent="0.35"/>
  <cols>
    <col min="1" max="1" width="12.36328125" bestFit="1" customWidth="1"/>
    <col min="2" max="2" width="23.81640625" bestFit="1" customWidth="1"/>
    <col min="3" max="6" width="9.7265625" bestFit="1" customWidth="1"/>
    <col min="7" max="7" width="8.7265625" bestFit="1" customWidth="1"/>
    <col min="8" max="12" width="8" bestFit="1" customWidth="1"/>
    <col min="13" max="23" width="9" bestFit="1" customWidth="1"/>
    <col min="24" max="24" width="8" bestFit="1" customWidth="1"/>
    <col min="25" max="32" width="9" bestFit="1" customWidth="1"/>
    <col min="33" max="37" width="10" bestFit="1" customWidth="1"/>
    <col min="38" max="38" width="11" bestFit="1" customWidth="1"/>
  </cols>
  <sheetData>
    <row r="3" spans="1:2" x14ac:dyDescent="0.35">
      <c r="A3" s="22" t="s">
        <v>104</v>
      </c>
      <c r="B3" s="23" t="s">
        <v>49</v>
      </c>
    </row>
    <row r="4" spans="1:2" x14ac:dyDescent="0.35">
      <c r="A4" s="24" t="s">
        <v>44</v>
      </c>
      <c r="B4" s="23"/>
    </row>
    <row r="5" spans="1:2" x14ac:dyDescent="0.35">
      <c r="A5" s="25" t="s">
        <v>45</v>
      </c>
      <c r="B5" s="26"/>
    </row>
    <row r="6" spans="1:2" x14ac:dyDescent="0.35">
      <c r="A6" s="27" t="s">
        <v>20</v>
      </c>
      <c r="B6" s="26">
        <v>-32616.01999999999</v>
      </c>
    </row>
    <row r="7" spans="1:2" x14ac:dyDescent="0.35">
      <c r="A7" s="27" t="s">
        <v>21</v>
      </c>
      <c r="B7" s="26">
        <v>-15815.289999999979</v>
      </c>
    </row>
    <row r="8" spans="1:2" x14ac:dyDescent="0.35">
      <c r="A8" s="27" t="s">
        <v>22</v>
      </c>
      <c r="B8" s="26">
        <v>-10403.690000000002</v>
      </c>
    </row>
    <row r="9" spans="1:2" x14ac:dyDescent="0.35">
      <c r="A9" s="25" t="s">
        <v>46</v>
      </c>
      <c r="B9" s="26"/>
    </row>
    <row r="10" spans="1:2" x14ac:dyDescent="0.35">
      <c r="A10" s="27" t="s">
        <v>23</v>
      </c>
      <c r="B10" s="26">
        <v>104427.94</v>
      </c>
    </row>
    <row r="11" spans="1:2" x14ac:dyDescent="0.35">
      <c r="A11" s="27" t="s">
        <v>24</v>
      </c>
      <c r="B11" s="26">
        <v>45592.889999999985</v>
      </c>
    </row>
    <row r="12" spans="1:2" x14ac:dyDescent="0.35">
      <c r="A12" s="27" t="s">
        <v>25</v>
      </c>
      <c r="B12" s="26">
        <v>10611.149999999994</v>
      </c>
    </row>
    <row r="13" spans="1:2" x14ac:dyDescent="0.35">
      <c r="A13" s="25" t="s">
        <v>47</v>
      </c>
      <c r="B13" s="26"/>
    </row>
    <row r="14" spans="1:2" x14ac:dyDescent="0.35">
      <c r="A14" s="27" t="s">
        <v>26</v>
      </c>
      <c r="B14" s="26">
        <v>3095.210000000021</v>
      </c>
    </row>
    <row r="15" spans="1:2" x14ac:dyDescent="0.35">
      <c r="A15" s="27" t="s">
        <v>27</v>
      </c>
      <c r="B15" s="26">
        <v>44741.859999999986</v>
      </c>
    </row>
    <row r="16" spans="1:2" x14ac:dyDescent="0.35">
      <c r="A16" s="27" t="s">
        <v>28</v>
      </c>
      <c r="B16" s="26">
        <v>8117.5800000000163</v>
      </c>
    </row>
    <row r="17" spans="1:2" x14ac:dyDescent="0.35">
      <c r="A17" s="25" t="s">
        <v>48</v>
      </c>
      <c r="B17" s="26"/>
    </row>
    <row r="18" spans="1:2" x14ac:dyDescent="0.35">
      <c r="A18" s="27" t="s">
        <v>29</v>
      </c>
      <c r="B18" s="26">
        <v>4862.4200000000128</v>
      </c>
    </row>
    <row r="19" spans="1:2" x14ac:dyDescent="0.35">
      <c r="A19" s="27" t="s">
        <v>30</v>
      </c>
      <c r="B19" s="26">
        <v>21164.680000000051</v>
      </c>
    </row>
    <row r="20" spans="1:2" x14ac:dyDescent="0.35">
      <c r="A20" s="27" t="s">
        <v>31</v>
      </c>
      <c r="B20" s="26">
        <v>139744.69</v>
      </c>
    </row>
    <row r="21" spans="1:2" x14ac:dyDescent="0.35">
      <c r="A21" s="39" t="s">
        <v>88</v>
      </c>
      <c r="B21" s="26"/>
    </row>
    <row r="22" spans="1:2" x14ac:dyDescent="0.35">
      <c r="A22" s="25" t="s">
        <v>45</v>
      </c>
      <c r="B22" s="26"/>
    </row>
    <row r="23" spans="1:2" x14ac:dyDescent="0.35">
      <c r="A23" s="27" t="s">
        <v>20</v>
      </c>
      <c r="B23" s="26">
        <v>109103.59</v>
      </c>
    </row>
    <row r="24" spans="1:2" x14ac:dyDescent="0.35">
      <c r="A24" s="27" t="s">
        <v>21</v>
      </c>
      <c r="B24" s="26">
        <v>-10986.630000000005</v>
      </c>
    </row>
    <row r="25" spans="1:2" x14ac:dyDescent="0.35">
      <c r="A25" s="27" t="s">
        <v>22</v>
      </c>
      <c r="B25" s="26">
        <v>55607.739999999991</v>
      </c>
    </row>
    <row r="26" spans="1:2" x14ac:dyDescent="0.35">
      <c r="A26" s="25" t="s">
        <v>46</v>
      </c>
      <c r="B26" s="26"/>
    </row>
    <row r="27" spans="1:2" x14ac:dyDescent="0.35">
      <c r="A27" s="27" t="s">
        <v>23</v>
      </c>
      <c r="B27" s="26">
        <v>67911.580000000016</v>
      </c>
    </row>
    <row r="28" spans="1:2" x14ac:dyDescent="0.35">
      <c r="A28" s="27" t="s">
        <v>24</v>
      </c>
      <c r="B28" s="26">
        <v>31806.920000000042</v>
      </c>
    </row>
    <row r="29" spans="1:2" x14ac:dyDescent="0.35">
      <c r="A29" s="27" t="s">
        <v>25</v>
      </c>
      <c r="B29" s="26">
        <v>46298.380000000005</v>
      </c>
    </row>
    <row r="30" spans="1:2" x14ac:dyDescent="0.35">
      <c r="A30" s="25" t="s">
        <v>47</v>
      </c>
      <c r="B30" s="26"/>
    </row>
    <row r="31" spans="1:2" x14ac:dyDescent="0.35">
      <c r="A31" s="27" t="s">
        <v>26</v>
      </c>
      <c r="B31" s="26">
        <v>8479.5499999999884</v>
      </c>
    </row>
    <row r="32" spans="1:2" x14ac:dyDescent="0.35">
      <c r="A32" s="27" t="s">
        <v>27</v>
      </c>
      <c r="B32" s="26">
        <v>33012.26999999999</v>
      </c>
    </row>
    <row r="33" spans="1:2" x14ac:dyDescent="0.35">
      <c r="A33" s="27" t="s">
        <v>28</v>
      </c>
      <c r="B33" s="26">
        <v>4157.7700000000186</v>
      </c>
    </row>
    <row r="34" spans="1:2" x14ac:dyDescent="0.35">
      <c r="A34" s="25" t="s">
        <v>48</v>
      </c>
      <c r="B34" s="26"/>
    </row>
    <row r="35" spans="1:2" x14ac:dyDescent="0.35">
      <c r="A35" s="27" t="s">
        <v>29</v>
      </c>
      <c r="B35" s="26">
        <v>-3619.6100000000151</v>
      </c>
    </row>
    <row r="36" spans="1:2" x14ac:dyDescent="0.35">
      <c r="A36" s="27" t="s">
        <v>30</v>
      </c>
      <c r="B36" s="26">
        <v>18077.02999999997</v>
      </c>
    </row>
    <row r="37" spans="1:2" x14ac:dyDescent="0.35">
      <c r="A37" s="27" t="s">
        <v>31</v>
      </c>
      <c r="B37" s="26">
        <v>247057.53</v>
      </c>
    </row>
    <row r="38" spans="1:2" x14ac:dyDescent="0.35">
      <c r="A38" s="39" t="s">
        <v>89</v>
      </c>
      <c r="B38" s="26"/>
    </row>
    <row r="39" spans="1:2" x14ac:dyDescent="0.35">
      <c r="A39" s="25" t="s">
        <v>45</v>
      </c>
      <c r="B39" s="26"/>
    </row>
    <row r="40" spans="1:2" x14ac:dyDescent="0.35">
      <c r="A40" s="27" t="s">
        <v>20</v>
      </c>
      <c r="B40" s="26">
        <v>51816.44</v>
      </c>
    </row>
    <row r="41" spans="1:2" x14ac:dyDescent="0.35">
      <c r="A41" s="27" t="s">
        <v>21</v>
      </c>
      <c r="B41" s="26">
        <v>19480.080000000016</v>
      </c>
    </row>
    <row r="42" spans="1:2" x14ac:dyDescent="0.35">
      <c r="A42" s="27" t="s">
        <v>22</v>
      </c>
      <c r="B42" s="26">
        <v>11933.869999999995</v>
      </c>
    </row>
    <row r="43" spans="1:2" x14ac:dyDescent="0.35">
      <c r="A43" s="25" t="s">
        <v>46</v>
      </c>
      <c r="B43" s="26"/>
    </row>
    <row r="44" spans="1:2" x14ac:dyDescent="0.35">
      <c r="A44" s="27" t="s">
        <v>23</v>
      </c>
      <c r="B44" s="26">
        <v>79142.110000000015</v>
      </c>
    </row>
    <row r="45" spans="1:2" x14ac:dyDescent="0.35">
      <c r="A45" s="27" t="s">
        <v>24</v>
      </c>
      <c r="B45" s="26">
        <v>69894.669999999984</v>
      </c>
    </row>
    <row r="46" spans="1:2" x14ac:dyDescent="0.35">
      <c r="A46" s="27" t="s">
        <v>25</v>
      </c>
      <c r="B46" s="26">
        <v>27011.839999999997</v>
      </c>
    </row>
    <row r="47" spans="1:2" x14ac:dyDescent="0.35">
      <c r="A47" s="25" t="s">
        <v>47</v>
      </c>
      <c r="B47" s="26"/>
    </row>
    <row r="48" spans="1:2" x14ac:dyDescent="0.35">
      <c r="A48" s="27" t="s">
        <v>26</v>
      </c>
      <c r="B48" s="26">
        <v>-61824.520000000019</v>
      </c>
    </row>
    <row r="49" spans="1:2" x14ac:dyDescent="0.35">
      <c r="A49" s="27" t="s">
        <v>27</v>
      </c>
      <c r="B49" s="26">
        <v>25084.97000000003</v>
      </c>
    </row>
    <row r="50" spans="1:2" x14ac:dyDescent="0.35">
      <c r="A50" s="27" t="s">
        <v>28</v>
      </c>
      <c r="B50" s="26">
        <v>60809.059999999983</v>
      </c>
    </row>
    <row r="51" spans="1:2" x14ac:dyDescent="0.35">
      <c r="A51" s="25" t="s">
        <v>48</v>
      </c>
      <c r="B51" s="26"/>
    </row>
    <row r="52" spans="1:2" x14ac:dyDescent="0.35">
      <c r="A52" s="27" t="s">
        <v>29</v>
      </c>
      <c r="B52" s="26">
        <v>44925.100000000006</v>
      </c>
    </row>
    <row r="53" spans="1:2" x14ac:dyDescent="0.35">
      <c r="A53" s="27" t="s">
        <v>30</v>
      </c>
      <c r="B53" s="26">
        <v>41982.74000000002</v>
      </c>
    </row>
    <row r="54" spans="1:2" x14ac:dyDescent="0.35">
      <c r="A54" s="27" t="s">
        <v>31</v>
      </c>
      <c r="B54" s="26">
        <v>214863.01000000007</v>
      </c>
    </row>
    <row r="55" spans="1:2" x14ac:dyDescent="0.35">
      <c r="A55" s="28" t="s">
        <v>105</v>
      </c>
      <c r="B55" s="29">
        <v>1515548.9100000004</v>
      </c>
    </row>
  </sheetData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E55"/>
  <sheetViews>
    <sheetView workbookViewId="0">
      <selection activeCell="B6" sqref="B6"/>
    </sheetView>
  </sheetViews>
  <sheetFormatPr defaultRowHeight="14.5" x14ac:dyDescent="0.35"/>
  <cols>
    <col min="1" max="1" width="12.36328125" bestFit="1" customWidth="1"/>
    <col min="2" max="2" width="28" bestFit="1" customWidth="1"/>
    <col min="3" max="3" width="12.453125" bestFit="1" customWidth="1"/>
    <col min="4" max="4" width="13.7265625" bestFit="1" customWidth="1"/>
    <col min="5" max="5" width="12.26953125" bestFit="1" customWidth="1"/>
    <col min="6" max="6" width="19.81640625" bestFit="1" customWidth="1"/>
    <col min="7" max="7" width="19.7265625" bestFit="1" customWidth="1"/>
    <col min="8" max="37" width="4.54296875" bestFit="1" customWidth="1"/>
    <col min="38" max="38" width="10.81640625" bestFit="1" customWidth="1"/>
  </cols>
  <sheetData>
    <row r="3" spans="1:5" x14ac:dyDescent="0.35">
      <c r="A3" s="22" t="s">
        <v>104</v>
      </c>
      <c r="B3" s="30" t="s">
        <v>54</v>
      </c>
      <c r="C3" s="31" t="s">
        <v>51</v>
      </c>
      <c r="D3" s="31" t="s">
        <v>52</v>
      </c>
      <c r="E3" s="32" t="s">
        <v>53</v>
      </c>
    </row>
    <row r="4" spans="1:5" x14ac:dyDescent="0.35">
      <c r="A4" s="24" t="s">
        <v>44</v>
      </c>
      <c r="B4" s="30"/>
      <c r="C4" s="31"/>
      <c r="D4" s="31"/>
      <c r="E4" s="32"/>
    </row>
    <row r="5" spans="1:5" x14ac:dyDescent="0.35">
      <c r="A5" s="25" t="s">
        <v>45</v>
      </c>
      <c r="B5" s="33"/>
      <c r="C5" s="34"/>
      <c r="D5" s="34"/>
      <c r="E5" s="35"/>
    </row>
    <row r="6" spans="1:5" x14ac:dyDescent="0.35">
      <c r="A6" s="27" t="s">
        <v>20</v>
      </c>
      <c r="B6" s="33">
        <v>0.85267921824622839</v>
      </c>
      <c r="C6" s="34">
        <v>0.47</v>
      </c>
      <c r="D6" s="34">
        <v>0.18</v>
      </c>
      <c r="E6" s="35">
        <v>0.2</v>
      </c>
    </row>
    <row r="7" spans="1:5" x14ac:dyDescent="0.35">
      <c r="A7" s="27" t="s">
        <v>21</v>
      </c>
      <c r="B7" s="33">
        <v>0.70023418945042804</v>
      </c>
      <c r="C7" s="34">
        <v>0.47</v>
      </c>
      <c r="D7" s="34">
        <v>0.18</v>
      </c>
      <c r="E7" s="35">
        <v>0.2</v>
      </c>
    </row>
    <row r="8" spans="1:5" x14ac:dyDescent="0.35">
      <c r="A8" s="27" t="s">
        <v>22</v>
      </c>
      <c r="B8" s="33">
        <v>0.54865305297690503</v>
      </c>
      <c r="C8" s="34">
        <v>0.47</v>
      </c>
      <c r="D8" s="34">
        <v>0.18</v>
      </c>
      <c r="E8" s="35">
        <v>0.2</v>
      </c>
    </row>
    <row r="9" spans="1:5" x14ac:dyDescent="0.35">
      <c r="A9" s="25" t="s">
        <v>46</v>
      </c>
      <c r="B9" s="33"/>
      <c r="C9" s="34"/>
      <c r="D9" s="34"/>
      <c r="E9" s="35"/>
    </row>
    <row r="10" spans="1:5" x14ac:dyDescent="0.35">
      <c r="A10" s="27" t="s">
        <v>23</v>
      </c>
      <c r="B10" s="33">
        <v>0.37498885463336729</v>
      </c>
      <c r="C10" s="34">
        <v>0.47</v>
      </c>
      <c r="D10" s="34">
        <v>0.18</v>
      </c>
      <c r="E10" s="35">
        <v>0.2</v>
      </c>
    </row>
    <row r="11" spans="1:5" x14ac:dyDescent="0.35">
      <c r="A11" s="27" t="s">
        <v>24</v>
      </c>
      <c r="B11" s="33">
        <v>0.37323654608639467</v>
      </c>
      <c r="C11" s="34">
        <v>0.47</v>
      </c>
      <c r="D11" s="34">
        <v>0.18</v>
      </c>
      <c r="E11" s="35">
        <v>0.2</v>
      </c>
    </row>
    <row r="12" spans="1:5" x14ac:dyDescent="0.35">
      <c r="A12" s="27" t="s">
        <v>25</v>
      </c>
      <c r="B12" s="33">
        <v>0.39076863559762165</v>
      </c>
      <c r="C12" s="34">
        <v>0.47</v>
      </c>
      <c r="D12" s="34">
        <v>0.18</v>
      </c>
      <c r="E12" s="35">
        <v>0.2</v>
      </c>
    </row>
    <row r="13" spans="1:5" x14ac:dyDescent="0.35">
      <c r="A13" s="25" t="s">
        <v>47</v>
      </c>
      <c r="B13" s="33"/>
      <c r="C13" s="34"/>
      <c r="D13" s="34"/>
      <c r="E13" s="35"/>
    </row>
    <row r="14" spans="1:5" x14ac:dyDescent="0.35">
      <c r="A14" s="27" t="s">
        <v>26</v>
      </c>
      <c r="B14" s="33">
        <v>0.3809852610143098</v>
      </c>
      <c r="C14" s="34">
        <v>0.47</v>
      </c>
      <c r="D14" s="34">
        <v>0.18</v>
      </c>
      <c r="E14" s="35">
        <v>0.2</v>
      </c>
    </row>
    <row r="15" spans="1:5" x14ac:dyDescent="0.35">
      <c r="A15" s="27" t="s">
        <v>27</v>
      </c>
      <c r="B15" s="33">
        <v>0.33386235825147537</v>
      </c>
      <c r="C15" s="34">
        <v>0.47</v>
      </c>
      <c r="D15" s="34">
        <v>0.18</v>
      </c>
      <c r="E15" s="35">
        <v>0.2</v>
      </c>
    </row>
    <row r="16" spans="1:5" x14ac:dyDescent="0.35">
      <c r="A16" s="27" t="s">
        <v>28</v>
      </c>
      <c r="B16" s="33">
        <v>0.41787238260438608</v>
      </c>
      <c r="C16" s="34">
        <v>0.47</v>
      </c>
      <c r="D16" s="34">
        <v>0.18</v>
      </c>
      <c r="E16" s="35">
        <v>0.2</v>
      </c>
    </row>
    <row r="17" spans="1:5" x14ac:dyDescent="0.35">
      <c r="A17" s="25" t="s">
        <v>48</v>
      </c>
      <c r="B17" s="33"/>
      <c r="C17" s="34"/>
      <c r="D17" s="34"/>
      <c r="E17" s="35"/>
    </row>
    <row r="18" spans="1:5" x14ac:dyDescent="0.35">
      <c r="A18" s="27" t="s">
        <v>29</v>
      </c>
      <c r="B18" s="33">
        <v>0.53425823412367579</v>
      </c>
      <c r="C18" s="34">
        <v>0.47</v>
      </c>
      <c r="D18" s="34">
        <v>0.18</v>
      </c>
      <c r="E18" s="35">
        <v>0.2</v>
      </c>
    </row>
    <row r="19" spans="1:5" x14ac:dyDescent="0.35">
      <c r="A19" s="27" t="s">
        <v>30</v>
      </c>
      <c r="B19" s="33">
        <v>0.46689169823156162</v>
      </c>
      <c r="C19" s="34">
        <v>0.47</v>
      </c>
      <c r="D19" s="34">
        <v>0.18</v>
      </c>
      <c r="E19" s="35">
        <v>0.2</v>
      </c>
    </row>
    <row r="20" spans="1:5" x14ac:dyDescent="0.35">
      <c r="A20" s="27" t="s">
        <v>31</v>
      </c>
      <c r="B20" s="33">
        <v>0.3964907613427493</v>
      </c>
      <c r="C20" s="34">
        <v>0.47</v>
      </c>
      <c r="D20" s="34">
        <v>0.18</v>
      </c>
      <c r="E20" s="35">
        <v>0.2</v>
      </c>
    </row>
    <row r="21" spans="1:5" x14ac:dyDescent="0.35">
      <c r="A21" s="39" t="s">
        <v>88</v>
      </c>
      <c r="B21" s="33"/>
      <c r="C21" s="34"/>
      <c r="D21" s="34"/>
      <c r="E21" s="35"/>
    </row>
    <row r="22" spans="1:5" x14ac:dyDescent="0.35">
      <c r="A22" s="25" t="s">
        <v>45</v>
      </c>
      <c r="B22" s="33"/>
      <c r="C22" s="34"/>
      <c r="D22" s="34"/>
      <c r="E22" s="35"/>
    </row>
    <row r="23" spans="1:5" x14ac:dyDescent="0.35">
      <c r="A23" s="27" t="s">
        <v>20</v>
      </c>
      <c r="B23" s="33">
        <v>0.56477418284810277</v>
      </c>
      <c r="C23" s="34">
        <v>0.47</v>
      </c>
      <c r="D23" s="34">
        <v>0.18</v>
      </c>
      <c r="E23" s="35">
        <v>0.2</v>
      </c>
    </row>
    <row r="24" spans="1:5" x14ac:dyDescent="0.35">
      <c r="A24" s="27" t="s">
        <v>21</v>
      </c>
      <c r="B24" s="33">
        <v>0.57164482547458662</v>
      </c>
      <c r="C24" s="34">
        <v>0.47</v>
      </c>
      <c r="D24" s="34">
        <v>0.18</v>
      </c>
      <c r="E24" s="35">
        <v>0.2</v>
      </c>
    </row>
    <row r="25" spans="1:5" x14ac:dyDescent="0.35">
      <c r="A25" s="27" t="s">
        <v>22</v>
      </c>
      <c r="B25" s="33">
        <v>0.51753498004940157</v>
      </c>
      <c r="C25" s="34">
        <v>0.47</v>
      </c>
      <c r="D25" s="34">
        <v>0.18</v>
      </c>
      <c r="E25" s="35">
        <v>0.2</v>
      </c>
    </row>
    <row r="26" spans="1:5" x14ac:dyDescent="0.35">
      <c r="A26" s="25" t="s">
        <v>46</v>
      </c>
      <c r="B26" s="33"/>
      <c r="C26" s="34"/>
      <c r="D26" s="34"/>
      <c r="E26" s="35"/>
    </row>
    <row r="27" spans="1:5" x14ac:dyDescent="0.35">
      <c r="A27" s="27" t="s">
        <v>23</v>
      </c>
      <c r="B27" s="33">
        <v>0.53054534598036007</v>
      </c>
      <c r="C27" s="34">
        <v>0.47</v>
      </c>
      <c r="D27" s="34">
        <v>0.18</v>
      </c>
      <c r="E27" s="35">
        <v>0.2</v>
      </c>
    </row>
    <row r="28" spans="1:5" x14ac:dyDescent="0.35">
      <c r="A28" s="27" t="s">
        <v>24</v>
      </c>
      <c r="B28" s="33">
        <v>0.49524772315266308</v>
      </c>
      <c r="C28" s="34">
        <v>0.47</v>
      </c>
      <c r="D28" s="34">
        <v>0.18</v>
      </c>
      <c r="E28" s="35">
        <v>0.2</v>
      </c>
    </row>
    <row r="29" spans="1:5" x14ac:dyDescent="0.35">
      <c r="A29" s="27" t="s">
        <v>25</v>
      </c>
      <c r="B29" s="33">
        <v>0.54654453364518474</v>
      </c>
      <c r="C29" s="34">
        <v>0.47</v>
      </c>
      <c r="D29" s="34">
        <v>0.18</v>
      </c>
      <c r="E29" s="35">
        <v>0.2</v>
      </c>
    </row>
    <row r="30" spans="1:5" x14ac:dyDescent="0.35">
      <c r="A30" s="25" t="s">
        <v>47</v>
      </c>
      <c r="B30" s="33"/>
      <c r="C30" s="34"/>
      <c r="D30" s="34"/>
      <c r="E30" s="35"/>
    </row>
    <row r="31" spans="1:5" x14ac:dyDescent="0.35">
      <c r="A31" s="27" t="s">
        <v>26</v>
      </c>
      <c r="B31" s="33">
        <v>0.53839811027593099</v>
      </c>
      <c r="C31" s="34">
        <v>0.47</v>
      </c>
      <c r="D31" s="34">
        <v>0.18</v>
      </c>
      <c r="E31" s="35">
        <v>0.2</v>
      </c>
    </row>
    <row r="32" spans="1:5" x14ac:dyDescent="0.35">
      <c r="A32" s="27" t="s">
        <v>27</v>
      </c>
      <c r="B32" s="33">
        <v>0.51809648048749224</v>
      </c>
      <c r="C32" s="34">
        <v>0.47</v>
      </c>
      <c r="D32" s="34">
        <v>0.18</v>
      </c>
      <c r="E32" s="35">
        <v>0.2</v>
      </c>
    </row>
    <row r="33" spans="1:5" x14ac:dyDescent="0.35">
      <c r="A33" s="27" t="s">
        <v>28</v>
      </c>
      <c r="B33" s="33">
        <v>0.57415574787542034</v>
      </c>
      <c r="C33" s="34">
        <v>0.47</v>
      </c>
      <c r="D33" s="34">
        <v>0.18</v>
      </c>
      <c r="E33" s="35">
        <v>0.2</v>
      </c>
    </row>
    <row r="34" spans="1:5" x14ac:dyDescent="0.35">
      <c r="A34" s="25" t="s">
        <v>48</v>
      </c>
      <c r="B34" s="33"/>
      <c r="C34" s="34"/>
      <c r="D34" s="34"/>
      <c r="E34" s="35"/>
    </row>
    <row r="35" spans="1:5" x14ac:dyDescent="0.35">
      <c r="A35" s="27" t="s">
        <v>29</v>
      </c>
      <c r="B35" s="33">
        <v>0.60422624383002721</v>
      </c>
      <c r="C35" s="34">
        <v>0.47</v>
      </c>
      <c r="D35" s="34">
        <v>0.18</v>
      </c>
      <c r="E35" s="35">
        <v>0.2</v>
      </c>
    </row>
    <row r="36" spans="1:5" x14ac:dyDescent="0.35">
      <c r="A36" s="27" t="s">
        <v>30</v>
      </c>
      <c r="B36" s="33">
        <v>0.73743640962933243</v>
      </c>
      <c r="C36" s="34">
        <v>0.47</v>
      </c>
      <c r="D36" s="34">
        <v>0.18</v>
      </c>
      <c r="E36" s="35">
        <v>0.2</v>
      </c>
    </row>
    <row r="37" spans="1:5" x14ac:dyDescent="0.35">
      <c r="A37" s="27" t="s">
        <v>31</v>
      </c>
      <c r="B37" s="33">
        <v>0.6765506680850456</v>
      </c>
      <c r="C37" s="34">
        <v>0.47</v>
      </c>
      <c r="D37" s="34">
        <v>0.18</v>
      </c>
      <c r="E37" s="35">
        <v>0.2</v>
      </c>
    </row>
    <row r="38" spans="1:5" x14ac:dyDescent="0.35">
      <c r="A38" s="39" t="s">
        <v>89</v>
      </c>
      <c r="B38" s="33"/>
      <c r="C38" s="34"/>
      <c r="D38" s="34"/>
      <c r="E38" s="35"/>
    </row>
    <row r="39" spans="1:5" x14ac:dyDescent="0.35">
      <c r="A39" s="25" t="s">
        <v>45</v>
      </c>
      <c r="B39" s="33"/>
      <c r="C39" s="34"/>
      <c r="D39" s="34"/>
      <c r="E39" s="35"/>
    </row>
    <row r="40" spans="1:5" x14ac:dyDescent="0.35">
      <c r="A40" s="27" t="s">
        <v>20</v>
      </c>
      <c r="B40" s="33">
        <v>0.53607300871322761</v>
      </c>
      <c r="C40" s="34">
        <v>0.47</v>
      </c>
      <c r="D40" s="34">
        <v>0.18</v>
      </c>
      <c r="E40" s="35">
        <v>0.2</v>
      </c>
    </row>
    <row r="41" spans="1:5" x14ac:dyDescent="0.35">
      <c r="A41" s="27" t="s">
        <v>21</v>
      </c>
      <c r="B41" s="33">
        <v>0.5933343108386594</v>
      </c>
      <c r="C41" s="34">
        <v>0.47</v>
      </c>
      <c r="D41" s="34">
        <v>0.18</v>
      </c>
      <c r="E41" s="35">
        <v>0.2</v>
      </c>
    </row>
    <row r="42" spans="1:5" x14ac:dyDescent="0.35">
      <c r="A42" s="27" t="s">
        <v>22</v>
      </c>
      <c r="B42" s="33">
        <v>0.64180519338072173</v>
      </c>
      <c r="C42" s="34">
        <v>0.47</v>
      </c>
      <c r="D42" s="34">
        <v>0.18</v>
      </c>
      <c r="E42" s="35">
        <v>0.2</v>
      </c>
    </row>
    <row r="43" spans="1:5" x14ac:dyDescent="0.35">
      <c r="A43" s="25" t="s">
        <v>46</v>
      </c>
      <c r="B43" s="33"/>
      <c r="C43" s="34"/>
      <c r="D43" s="34"/>
      <c r="E43" s="35"/>
    </row>
    <row r="44" spans="1:5" x14ac:dyDescent="0.35">
      <c r="A44" s="27" t="s">
        <v>23</v>
      </c>
      <c r="B44" s="33">
        <v>0.65068187497901897</v>
      </c>
      <c r="C44" s="34">
        <v>0.47</v>
      </c>
      <c r="D44" s="34">
        <v>0.18</v>
      </c>
      <c r="E44" s="35">
        <v>0.2</v>
      </c>
    </row>
    <row r="45" spans="1:5" x14ac:dyDescent="0.35">
      <c r="A45" s="27" t="s">
        <v>24</v>
      </c>
      <c r="B45" s="33">
        <v>0.4788055072670544</v>
      </c>
      <c r="C45" s="34">
        <v>0.47</v>
      </c>
      <c r="D45" s="34">
        <v>0.18</v>
      </c>
      <c r="E45" s="35">
        <v>0.2</v>
      </c>
    </row>
    <row r="46" spans="1:5" x14ac:dyDescent="0.35">
      <c r="A46" s="27" t="s">
        <v>25</v>
      </c>
      <c r="B46" s="33">
        <v>0.61985241349850484</v>
      </c>
      <c r="C46" s="34">
        <v>0.47</v>
      </c>
      <c r="D46" s="34">
        <v>0.18</v>
      </c>
      <c r="E46" s="35">
        <v>0.2</v>
      </c>
    </row>
    <row r="47" spans="1:5" x14ac:dyDescent="0.35">
      <c r="A47" s="25" t="s">
        <v>47</v>
      </c>
      <c r="B47" s="33"/>
      <c r="C47" s="34"/>
      <c r="D47" s="34"/>
      <c r="E47" s="35"/>
    </row>
    <row r="48" spans="1:5" x14ac:dyDescent="0.35">
      <c r="A48" s="27" t="s">
        <v>26</v>
      </c>
      <c r="B48" s="33">
        <v>0.69683436715753588</v>
      </c>
      <c r="C48" s="34">
        <v>0.47</v>
      </c>
      <c r="D48" s="34">
        <v>0.18</v>
      </c>
      <c r="E48" s="35">
        <v>0.2</v>
      </c>
    </row>
    <row r="49" spans="1:5" x14ac:dyDescent="0.35">
      <c r="A49" s="27" t="s">
        <v>27</v>
      </c>
      <c r="B49" s="33">
        <v>0.6495639551192145</v>
      </c>
      <c r="C49" s="34">
        <v>0.47</v>
      </c>
      <c r="D49" s="34">
        <v>0.18</v>
      </c>
      <c r="E49" s="35">
        <v>0.2</v>
      </c>
    </row>
    <row r="50" spans="1:5" x14ac:dyDescent="0.35">
      <c r="A50" s="27" t="s">
        <v>28</v>
      </c>
      <c r="B50" s="33">
        <v>0.58222169930166334</v>
      </c>
      <c r="C50" s="34">
        <v>0.47</v>
      </c>
      <c r="D50" s="34">
        <v>0.18</v>
      </c>
      <c r="E50" s="35">
        <v>0.2</v>
      </c>
    </row>
    <row r="51" spans="1:5" x14ac:dyDescent="0.35">
      <c r="A51" s="25" t="s">
        <v>48</v>
      </c>
      <c r="B51" s="33"/>
      <c r="C51" s="34"/>
      <c r="D51" s="34"/>
      <c r="E51" s="35"/>
    </row>
    <row r="52" spans="1:5" x14ac:dyDescent="0.35">
      <c r="A52" s="27" t="s">
        <v>29</v>
      </c>
      <c r="B52" s="33">
        <v>0.5718796872967935</v>
      </c>
      <c r="C52" s="34">
        <v>0.47</v>
      </c>
      <c r="D52" s="34">
        <v>0.18</v>
      </c>
      <c r="E52" s="35">
        <v>0.2</v>
      </c>
    </row>
    <row r="53" spans="1:5" x14ac:dyDescent="0.35">
      <c r="A53" s="27" t="s">
        <v>30</v>
      </c>
      <c r="B53" s="33">
        <v>0.78315438368776136</v>
      </c>
      <c r="C53" s="34">
        <v>0.47</v>
      </c>
      <c r="D53" s="34">
        <v>0.18</v>
      </c>
      <c r="E53" s="35">
        <v>0.2</v>
      </c>
    </row>
    <row r="54" spans="1:5" x14ac:dyDescent="0.35">
      <c r="A54" s="27" t="s">
        <v>31</v>
      </c>
      <c r="B54" s="33">
        <v>0.79511521696009135</v>
      </c>
      <c r="C54" s="34">
        <v>0.47</v>
      </c>
      <c r="D54" s="34">
        <v>0.18</v>
      </c>
      <c r="E54" s="35">
        <v>0.2</v>
      </c>
    </row>
    <row r="55" spans="1:5" x14ac:dyDescent="0.35">
      <c r="A55" s="28" t="s">
        <v>105</v>
      </c>
      <c r="B55" s="36">
        <v>20.245398062092892</v>
      </c>
      <c r="C55" s="37">
        <v>16.920000000000005</v>
      </c>
      <c r="D55" s="37">
        <v>6.4799999999999978</v>
      </c>
      <c r="E55" s="38">
        <v>7.2000000000000037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E55"/>
  <sheetViews>
    <sheetView workbookViewId="0">
      <selection activeCell="B6" sqref="B6"/>
    </sheetView>
  </sheetViews>
  <sheetFormatPr defaultRowHeight="14.5" x14ac:dyDescent="0.35"/>
  <cols>
    <col min="1" max="1" width="12.36328125" bestFit="1" customWidth="1"/>
    <col min="2" max="2" width="25.7265625" bestFit="1" customWidth="1"/>
    <col min="3" max="3" width="17.6328125" bestFit="1" customWidth="1"/>
    <col min="4" max="4" width="17.81640625" bestFit="1" customWidth="1"/>
    <col min="5" max="5" width="17.90625" bestFit="1" customWidth="1"/>
    <col min="6" max="37" width="4.54296875" bestFit="1" customWidth="1"/>
    <col min="38" max="38" width="10.81640625" bestFit="1" customWidth="1"/>
  </cols>
  <sheetData>
    <row r="3" spans="1:5" x14ac:dyDescent="0.35">
      <c r="A3" s="22" t="s">
        <v>104</v>
      </c>
      <c r="B3" s="30" t="s">
        <v>58</v>
      </c>
      <c r="C3" s="31" t="s">
        <v>55</v>
      </c>
      <c r="D3" s="31" t="s">
        <v>56</v>
      </c>
      <c r="E3" s="32" t="s">
        <v>57</v>
      </c>
    </row>
    <row r="4" spans="1:5" x14ac:dyDescent="0.35">
      <c r="A4" s="24" t="s">
        <v>44</v>
      </c>
      <c r="B4" s="30"/>
      <c r="C4" s="31"/>
      <c r="D4" s="31"/>
      <c r="E4" s="32"/>
    </row>
    <row r="5" spans="1:5" x14ac:dyDescent="0.35">
      <c r="A5" s="25" t="s">
        <v>45</v>
      </c>
      <c r="B5" s="33"/>
      <c r="C5" s="34"/>
      <c r="D5" s="34"/>
      <c r="E5" s="35"/>
    </row>
    <row r="6" spans="1:5" x14ac:dyDescent="0.35">
      <c r="A6" s="27" t="s">
        <v>20</v>
      </c>
      <c r="B6" s="33">
        <v>0.98733458372919924</v>
      </c>
      <c r="C6" s="34">
        <v>1.43</v>
      </c>
      <c r="D6" s="34">
        <v>0.65</v>
      </c>
      <c r="E6" s="35">
        <v>0.64</v>
      </c>
    </row>
    <row r="7" spans="1:5" x14ac:dyDescent="0.35">
      <c r="A7" s="27" t="s">
        <v>21</v>
      </c>
      <c r="B7" s="33">
        <v>1.2397789110203643</v>
      </c>
      <c r="C7" s="34">
        <v>1.43</v>
      </c>
      <c r="D7" s="34">
        <v>0.65</v>
      </c>
      <c r="E7" s="35">
        <v>0.64</v>
      </c>
    </row>
    <row r="8" spans="1:5" x14ac:dyDescent="0.35">
      <c r="A8" s="27" t="s">
        <v>22</v>
      </c>
      <c r="B8" s="33">
        <v>1.4713420982996925</v>
      </c>
      <c r="C8" s="34">
        <v>1.43</v>
      </c>
      <c r="D8" s="34">
        <v>0.65</v>
      </c>
      <c r="E8" s="35">
        <v>0.64</v>
      </c>
    </row>
    <row r="9" spans="1:5" x14ac:dyDescent="0.35">
      <c r="A9" s="25" t="s">
        <v>46</v>
      </c>
      <c r="B9" s="33"/>
      <c r="C9" s="34"/>
      <c r="D9" s="34"/>
      <c r="E9" s="35"/>
    </row>
    <row r="10" spans="1:5" x14ac:dyDescent="0.35">
      <c r="A10" s="27" t="s">
        <v>23</v>
      </c>
      <c r="B10" s="33">
        <v>2.3067464804160545</v>
      </c>
      <c r="C10" s="34">
        <v>1.43</v>
      </c>
      <c r="D10" s="34">
        <v>0.65</v>
      </c>
      <c r="E10" s="35">
        <v>0.64</v>
      </c>
    </row>
    <row r="11" spans="1:5" x14ac:dyDescent="0.35">
      <c r="A11" s="27" t="s">
        <v>24</v>
      </c>
      <c r="B11" s="33">
        <v>2.3104486016133867</v>
      </c>
      <c r="C11" s="34">
        <v>1.43</v>
      </c>
      <c r="D11" s="34">
        <v>0.65</v>
      </c>
      <c r="E11" s="35">
        <v>0.64</v>
      </c>
    </row>
    <row r="12" spans="1:5" x14ac:dyDescent="0.35">
      <c r="A12" s="27" t="s">
        <v>25</v>
      </c>
      <c r="B12" s="33">
        <v>2.2054087678613854</v>
      </c>
      <c r="C12" s="34">
        <v>1.43</v>
      </c>
      <c r="D12" s="34">
        <v>0.65</v>
      </c>
      <c r="E12" s="35">
        <v>0.64</v>
      </c>
    </row>
    <row r="13" spans="1:5" x14ac:dyDescent="0.35">
      <c r="A13" s="25" t="s">
        <v>47</v>
      </c>
      <c r="B13" s="33"/>
      <c r="C13" s="34"/>
      <c r="D13" s="34"/>
      <c r="E13" s="35"/>
    </row>
    <row r="14" spans="1:5" x14ac:dyDescent="0.35">
      <c r="A14" s="27" t="s">
        <v>26</v>
      </c>
      <c r="B14" s="33">
        <v>2.3835389590859184</v>
      </c>
      <c r="C14" s="34">
        <v>1.43</v>
      </c>
      <c r="D14" s="34">
        <v>0.65</v>
      </c>
      <c r="E14" s="35">
        <v>0.64</v>
      </c>
    </row>
    <row r="15" spans="1:5" x14ac:dyDescent="0.35">
      <c r="A15" s="27" t="s">
        <v>27</v>
      </c>
      <c r="B15" s="33">
        <v>2.7107345149509694</v>
      </c>
      <c r="C15" s="34">
        <v>1.43</v>
      </c>
      <c r="D15" s="34">
        <v>0.65</v>
      </c>
      <c r="E15" s="35">
        <v>0.64</v>
      </c>
    </row>
    <row r="16" spans="1:5" x14ac:dyDescent="0.35">
      <c r="A16" s="27" t="s">
        <v>28</v>
      </c>
      <c r="B16" s="33">
        <v>2.0748997529416568</v>
      </c>
      <c r="C16" s="34">
        <v>1.43</v>
      </c>
      <c r="D16" s="34">
        <v>0.65</v>
      </c>
      <c r="E16" s="35">
        <v>0.64</v>
      </c>
    </row>
    <row r="17" spans="1:5" x14ac:dyDescent="0.35">
      <c r="A17" s="25" t="s">
        <v>48</v>
      </c>
      <c r="B17" s="33"/>
      <c r="C17" s="34"/>
      <c r="D17" s="34"/>
      <c r="E17" s="35"/>
    </row>
    <row r="18" spans="1:5" x14ac:dyDescent="0.35">
      <c r="A18" s="27" t="s">
        <v>29</v>
      </c>
      <c r="B18" s="33">
        <v>1.7393287983186514</v>
      </c>
      <c r="C18" s="34">
        <v>1.43</v>
      </c>
      <c r="D18" s="34">
        <v>0.65</v>
      </c>
      <c r="E18" s="35">
        <v>0.64</v>
      </c>
    </row>
    <row r="19" spans="1:5" x14ac:dyDescent="0.35">
      <c r="A19" s="27" t="s">
        <v>30</v>
      </c>
      <c r="B19" s="33">
        <v>2.0942772415948991</v>
      </c>
      <c r="C19" s="34">
        <v>1.43</v>
      </c>
      <c r="D19" s="34">
        <v>0.65</v>
      </c>
      <c r="E19" s="35">
        <v>0.64</v>
      </c>
    </row>
    <row r="20" spans="1:5" x14ac:dyDescent="0.35">
      <c r="A20" s="27" t="s">
        <v>31</v>
      </c>
      <c r="B20" s="33">
        <v>2.5267084464617682</v>
      </c>
      <c r="C20" s="34">
        <v>1.43</v>
      </c>
      <c r="D20" s="34">
        <v>0.65</v>
      </c>
      <c r="E20" s="35">
        <v>0.64</v>
      </c>
    </row>
    <row r="21" spans="1:5" x14ac:dyDescent="0.35">
      <c r="A21" s="39" t="s">
        <v>88</v>
      </c>
      <c r="B21" s="33"/>
      <c r="C21" s="34"/>
      <c r="D21" s="34"/>
      <c r="E21" s="35"/>
    </row>
    <row r="22" spans="1:5" x14ac:dyDescent="0.35">
      <c r="A22" s="25" t="s">
        <v>45</v>
      </c>
      <c r="B22" s="33"/>
      <c r="C22" s="34"/>
      <c r="D22" s="34"/>
      <c r="E22" s="35"/>
    </row>
    <row r="23" spans="1:5" x14ac:dyDescent="0.35">
      <c r="A23" s="27" t="s">
        <v>20</v>
      </c>
      <c r="B23" s="33">
        <v>1.7570946222639847</v>
      </c>
      <c r="C23" s="34">
        <v>1.43</v>
      </c>
      <c r="D23" s="34">
        <v>0.65</v>
      </c>
      <c r="E23" s="35">
        <v>0.64</v>
      </c>
    </row>
    <row r="24" spans="1:5" x14ac:dyDescent="0.35">
      <c r="A24" s="27" t="s">
        <v>21</v>
      </c>
      <c r="B24" s="33">
        <v>1.7841733060559506</v>
      </c>
      <c r="C24" s="34">
        <v>1.43</v>
      </c>
      <c r="D24" s="34">
        <v>0.65</v>
      </c>
      <c r="E24" s="35">
        <v>0.64</v>
      </c>
    </row>
    <row r="25" spans="1:5" x14ac:dyDescent="0.35">
      <c r="A25" s="27" t="s">
        <v>22</v>
      </c>
      <c r="B25" s="33">
        <v>1.9012544377798193</v>
      </c>
      <c r="C25" s="34">
        <v>1.43</v>
      </c>
      <c r="D25" s="34">
        <v>0.65</v>
      </c>
      <c r="E25" s="35">
        <v>0.64</v>
      </c>
    </row>
    <row r="26" spans="1:5" x14ac:dyDescent="0.35">
      <c r="A26" s="25" t="s">
        <v>46</v>
      </c>
      <c r="B26" s="33"/>
      <c r="C26" s="34"/>
      <c r="D26" s="34"/>
      <c r="E26" s="35"/>
    </row>
    <row r="27" spans="1:5" x14ac:dyDescent="0.35">
      <c r="A27" s="27" t="s">
        <v>23</v>
      </c>
      <c r="B27" s="33">
        <v>1.8702239088903025</v>
      </c>
      <c r="C27" s="34">
        <v>1.43</v>
      </c>
      <c r="D27" s="34">
        <v>0.65</v>
      </c>
      <c r="E27" s="35">
        <v>0.64</v>
      </c>
    </row>
    <row r="28" spans="1:5" x14ac:dyDescent="0.35">
      <c r="A28" s="27" t="s">
        <v>24</v>
      </c>
      <c r="B28" s="33">
        <v>1.7366671241656753</v>
      </c>
      <c r="C28" s="34">
        <v>1.43</v>
      </c>
      <c r="D28" s="34">
        <v>0.65</v>
      </c>
      <c r="E28" s="35">
        <v>0.64</v>
      </c>
    </row>
    <row r="29" spans="1:5" x14ac:dyDescent="0.35">
      <c r="A29" s="27" t="s">
        <v>25</v>
      </c>
      <c r="B29" s="33">
        <v>1.6525606756686053</v>
      </c>
      <c r="C29" s="34">
        <v>1.43</v>
      </c>
      <c r="D29" s="34">
        <v>0.65</v>
      </c>
      <c r="E29" s="35">
        <v>0.64</v>
      </c>
    </row>
    <row r="30" spans="1:5" x14ac:dyDescent="0.35">
      <c r="A30" s="25" t="s">
        <v>47</v>
      </c>
      <c r="B30" s="33"/>
      <c r="C30" s="34"/>
      <c r="D30" s="34"/>
      <c r="E30" s="35"/>
    </row>
    <row r="31" spans="1:5" x14ac:dyDescent="0.35">
      <c r="A31" s="27" t="s">
        <v>26</v>
      </c>
      <c r="B31" s="33">
        <v>1.7186701261761372</v>
      </c>
      <c r="C31" s="34">
        <v>1.43</v>
      </c>
      <c r="D31" s="34">
        <v>0.65</v>
      </c>
      <c r="E31" s="35">
        <v>0.64</v>
      </c>
    </row>
    <row r="32" spans="1:5" x14ac:dyDescent="0.35">
      <c r="A32" s="27" t="s">
        <v>27</v>
      </c>
      <c r="B32" s="33">
        <v>1.6693499330923309</v>
      </c>
      <c r="C32" s="34">
        <v>1.43</v>
      </c>
      <c r="D32" s="34">
        <v>0.65</v>
      </c>
      <c r="E32" s="35">
        <v>0.64</v>
      </c>
    </row>
    <row r="33" spans="1:5" x14ac:dyDescent="0.35">
      <c r="A33" s="27" t="s">
        <v>28</v>
      </c>
      <c r="B33" s="33">
        <v>1.4694297621649903</v>
      </c>
      <c r="C33" s="34">
        <v>1.43</v>
      </c>
      <c r="D33" s="34">
        <v>0.65</v>
      </c>
      <c r="E33" s="35">
        <v>0.64</v>
      </c>
    </row>
    <row r="34" spans="1:5" x14ac:dyDescent="0.35">
      <c r="A34" s="25" t="s">
        <v>48</v>
      </c>
      <c r="B34" s="33"/>
      <c r="C34" s="34"/>
      <c r="D34" s="34"/>
      <c r="E34" s="35"/>
    </row>
    <row r="35" spans="1:5" x14ac:dyDescent="0.35">
      <c r="A35" s="27" t="s">
        <v>29</v>
      </c>
      <c r="B35" s="33">
        <v>1.4691820083866292</v>
      </c>
      <c r="C35" s="34">
        <v>1.43</v>
      </c>
      <c r="D35" s="34">
        <v>0.65</v>
      </c>
      <c r="E35" s="35">
        <v>0.64</v>
      </c>
    </row>
    <row r="36" spans="1:5" x14ac:dyDescent="0.35">
      <c r="A36" s="27" t="s">
        <v>30</v>
      </c>
      <c r="B36" s="33">
        <v>1.3680134656057359</v>
      </c>
      <c r="C36" s="34">
        <v>1.43</v>
      </c>
      <c r="D36" s="34">
        <v>0.65</v>
      </c>
      <c r="E36" s="35">
        <v>0.64</v>
      </c>
    </row>
    <row r="37" spans="1:5" x14ac:dyDescent="0.35">
      <c r="A37" s="27" t="s">
        <v>31</v>
      </c>
      <c r="B37" s="33">
        <v>1.3943391715113185</v>
      </c>
      <c r="C37" s="34">
        <v>1.43</v>
      </c>
      <c r="D37" s="34">
        <v>0.65</v>
      </c>
      <c r="E37" s="35">
        <v>0.64</v>
      </c>
    </row>
    <row r="38" spans="1:5" x14ac:dyDescent="0.35">
      <c r="A38" s="39" t="s">
        <v>89</v>
      </c>
      <c r="B38" s="33"/>
      <c r="C38" s="34"/>
      <c r="D38" s="34"/>
      <c r="E38" s="35"/>
    </row>
    <row r="39" spans="1:5" x14ac:dyDescent="0.35">
      <c r="A39" s="25" t="s">
        <v>45</v>
      </c>
      <c r="B39" s="33"/>
      <c r="C39" s="34"/>
      <c r="D39" s="34"/>
      <c r="E39" s="35"/>
    </row>
    <row r="40" spans="1:5" x14ac:dyDescent="0.35">
      <c r="A40" s="27" t="s">
        <v>20</v>
      </c>
      <c r="B40" s="33">
        <v>1.7974333997499679</v>
      </c>
      <c r="C40" s="34">
        <v>1.43</v>
      </c>
      <c r="D40" s="34">
        <v>0.65</v>
      </c>
      <c r="E40" s="35">
        <v>0.64</v>
      </c>
    </row>
    <row r="41" spans="1:5" x14ac:dyDescent="0.35">
      <c r="A41" s="27" t="s">
        <v>21</v>
      </c>
      <c r="B41" s="33">
        <v>1.5982515087959595</v>
      </c>
      <c r="C41" s="34">
        <v>1.43</v>
      </c>
      <c r="D41" s="34">
        <v>0.65</v>
      </c>
      <c r="E41" s="35">
        <v>0.64</v>
      </c>
    </row>
    <row r="42" spans="1:5" x14ac:dyDescent="0.35">
      <c r="A42" s="27" t="s">
        <v>22</v>
      </c>
      <c r="B42" s="33">
        <v>1.4312723505744962</v>
      </c>
      <c r="C42" s="34">
        <v>1.43</v>
      </c>
      <c r="D42" s="34">
        <v>0.65</v>
      </c>
      <c r="E42" s="35">
        <v>0.64</v>
      </c>
    </row>
    <row r="43" spans="1:5" x14ac:dyDescent="0.35">
      <c r="A43" s="25" t="s">
        <v>46</v>
      </c>
      <c r="B43" s="33"/>
      <c r="C43" s="34"/>
      <c r="D43" s="34"/>
      <c r="E43" s="35"/>
    </row>
    <row r="44" spans="1:5" x14ac:dyDescent="0.35">
      <c r="A44" s="27" t="s">
        <v>23</v>
      </c>
      <c r="B44" s="33">
        <v>1.375742532562098</v>
      </c>
      <c r="C44" s="34">
        <v>1.43</v>
      </c>
      <c r="D44" s="34">
        <v>0.65</v>
      </c>
      <c r="E44" s="35">
        <v>0.64</v>
      </c>
    </row>
    <row r="45" spans="1:5" x14ac:dyDescent="0.35">
      <c r="A45" s="27" t="s">
        <v>24</v>
      </c>
      <c r="B45" s="33">
        <v>1.9850533384160216</v>
      </c>
      <c r="C45" s="34">
        <v>1.43</v>
      </c>
      <c r="D45" s="34">
        <v>0.65</v>
      </c>
      <c r="E45" s="35">
        <v>0.64</v>
      </c>
    </row>
    <row r="46" spans="1:5" x14ac:dyDescent="0.35">
      <c r="A46" s="27" t="s">
        <v>25</v>
      </c>
      <c r="B46" s="33">
        <v>1.557290460947333</v>
      </c>
      <c r="C46" s="34">
        <v>1.43</v>
      </c>
      <c r="D46" s="34">
        <v>0.65</v>
      </c>
      <c r="E46" s="35">
        <v>0.64</v>
      </c>
    </row>
    <row r="47" spans="1:5" x14ac:dyDescent="0.35">
      <c r="A47" s="25" t="s">
        <v>47</v>
      </c>
      <c r="B47" s="33"/>
      <c r="C47" s="34"/>
      <c r="D47" s="34"/>
      <c r="E47" s="35"/>
    </row>
    <row r="48" spans="1:5" x14ac:dyDescent="0.35">
      <c r="A48" s="27" t="s">
        <v>26</v>
      </c>
      <c r="B48" s="33">
        <v>1.3763898194179769</v>
      </c>
      <c r="C48" s="34">
        <v>1.43</v>
      </c>
      <c r="D48" s="34">
        <v>0.65</v>
      </c>
      <c r="E48" s="35">
        <v>0.64</v>
      </c>
    </row>
    <row r="49" spans="1:5" x14ac:dyDescent="0.35">
      <c r="A49" s="27" t="s">
        <v>27</v>
      </c>
      <c r="B49" s="33">
        <v>1.5965158386711416</v>
      </c>
      <c r="C49" s="34">
        <v>1.43</v>
      </c>
      <c r="D49" s="34">
        <v>0.65</v>
      </c>
      <c r="E49" s="35">
        <v>0.64</v>
      </c>
    </row>
    <row r="50" spans="1:5" x14ac:dyDescent="0.35">
      <c r="A50" s="27" t="s">
        <v>28</v>
      </c>
      <c r="B50" s="33">
        <v>1.8333155449205736</v>
      </c>
      <c r="C50" s="34">
        <v>1.43</v>
      </c>
      <c r="D50" s="34">
        <v>0.65</v>
      </c>
      <c r="E50" s="35">
        <v>0.64</v>
      </c>
    </row>
    <row r="51" spans="1:5" x14ac:dyDescent="0.35">
      <c r="A51" s="25" t="s">
        <v>48</v>
      </c>
      <c r="B51" s="33"/>
      <c r="C51" s="34"/>
      <c r="D51" s="34"/>
      <c r="E51" s="35"/>
    </row>
    <row r="52" spans="1:5" x14ac:dyDescent="0.35">
      <c r="A52" s="27" t="s">
        <v>29</v>
      </c>
      <c r="B52" s="33">
        <v>2.0296045390029835</v>
      </c>
      <c r="C52" s="34">
        <v>1.43</v>
      </c>
      <c r="D52" s="34">
        <v>0.65</v>
      </c>
      <c r="E52" s="35">
        <v>0.64</v>
      </c>
    </row>
    <row r="53" spans="1:5" x14ac:dyDescent="0.35">
      <c r="A53" s="27" t="s">
        <v>30</v>
      </c>
      <c r="B53" s="33">
        <v>1.4264733073460838</v>
      </c>
      <c r="C53" s="34">
        <v>1.43</v>
      </c>
      <c r="D53" s="34">
        <v>0.65</v>
      </c>
      <c r="E53" s="35">
        <v>0.64</v>
      </c>
    </row>
    <row r="54" spans="1:5" x14ac:dyDescent="0.35">
      <c r="A54" s="27" t="s">
        <v>31</v>
      </c>
      <c r="B54" s="33">
        <v>1.3669830236287375</v>
      </c>
      <c r="C54" s="34">
        <v>1.43</v>
      </c>
      <c r="D54" s="34">
        <v>0.65</v>
      </c>
      <c r="E54" s="35">
        <v>0.64</v>
      </c>
    </row>
    <row r="55" spans="1:5" x14ac:dyDescent="0.35">
      <c r="A55" s="28" t="s">
        <v>105</v>
      </c>
      <c r="B55" s="36">
        <v>63.215831362088807</v>
      </c>
      <c r="C55" s="37">
        <v>51.48</v>
      </c>
      <c r="D55" s="37">
        <v>23.399999999999988</v>
      </c>
      <c r="E55" s="38">
        <v>23.04000000000001</v>
      </c>
    </row>
  </sheetData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7FD74-92B7-49A3-92A5-03352EF558B8}">
  <dimension ref="A3:F19"/>
  <sheetViews>
    <sheetView workbookViewId="0">
      <selection activeCell="B5" sqref="B5:F18"/>
    </sheetView>
  </sheetViews>
  <sheetFormatPr defaultRowHeight="14.5" x14ac:dyDescent="0.35"/>
  <cols>
    <col min="1" max="1" width="12.36328125" bestFit="1" customWidth="1"/>
    <col min="2" max="2" width="20.6328125" bestFit="1" customWidth="1"/>
    <col min="3" max="3" width="14" bestFit="1" customWidth="1"/>
    <col min="4" max="4" width="15.26953125" bestFit="1" customWidth="1"/>
    <col min="5" max="5" width="14.90625" bestFit="1" customWidth="1"/>
    <col min="6" max="6" width="14" bestFit="1" customWidth="1"/>
  </cols>
  <sheetData>
    <row r="3" spans="1:6" x14ac:dyDescent="0.35">
      <c r="A3" s="6" t="s">
        <v>104</v>
      </c>
      <c r="B3" t="s">
        <v>81</v>
      </c>
      <c r="C3" t="s">
        <v>82</v>
      </c>
      <c r="D3" t="s">
        <v>83</v>
      </c>
      <c r="E3" t="s">
        <v>84</v>
      </c>
      <c r="F3" t="s">
        <v>86</v>
      </c>
    </row>
    <row r="4" spans="1:6" x14ac:dyDescent="0.35">
      <c r="A4" s="7" t="s">
        <v>44</v>
      </c>
    </row>
    <row r="5" spans="1:6" x14ac:dyDescent="0.35">
      <c r="A5" s="10" t="s">
        <v>45</v>
      </c>
      <c r="B5" s="9">
        <v>-0.70877831008352732</v>
      </c>
      <c r="C5" s="9">
        <v>0.06</v>
      </c>
      <c r="D5" s="9">
        <v>0.81</v>
      </c>
      <c r="E5" s="9">
        <v>0.86999999999999988</v>
      </c>
      <c r="F5" s="9">
        <v>-1.35</v>
      </c>
    </row>
    <row r="6" spans="1:6" x14ac:dyDescent="0.35">
      <c r="A6" s="10" t="s">
        <v>46</v>
      </c>
      <c r="B6" s="9">
        <v>0.87569773494170455</v>
      </c>
      <c r="C6" s="9">
        <v>0.06</v>
      </c>
      <c r="D6" s="9">
        <v>0.81</v>
      </c>
      <c r="E6" s="9">
        <v>0.86999999999999988</v>
      </c>
      <c r="F6" s="9">
        <v>-1.35</v>
      </c>
    </row>
    <row r="7" spans="1:6" x14ac:dyDescent="0.35">
      <c r="A7" s="10" t="s">
        <v>47</v>
      </c>
      <c r="B7" s="9">
        <v>0.3690512590753075</v>
      </c>
      <c r="C7" s="9">
        <v>0.06</v>
      </c>
      <c r="D7" s="9">
        <v>0.81</v>
      </c>
      <c r="E7" s="9">
        <v>0.86999999999999988</v>
      </c>
      <c r="F7" s="9">
        <v>-1.35</v>
      </c>
    </row>
    <row r="8" spans="1:6" x14ac:dyDescent="0.35">
      <c r="A8" s="10" t="s">
        <v>48</v>
      </c>
      <c r="B8" s="9">
        <v>0.63087076719615598</v>
      </c>
      <c r="C8" s="9">
        <v>0.06</v>
      </c>
      <c r="D8" s="9">
        <v>0.81</v>
      </c>
      <c r="E8" s="9">
        <v>0.86999999999999988</v>
      </c>
      <c r="F8" s="9">
        <v>-1.35</v>
      </c>
    </row>
    <row r="9" spans="1:6" x14ac:dyDescent="0.35">
      <c r="A9" s="7" t="s">
        <v>88</v>
      </c>
      <c r="B9" s="9"/>
      <c r="C9" s="9"/>
      <c r="D9" s="9"/>
      <c r="E9" s="9"/>
      <c r="F9" s="9"/>
    </row>
    <row r="10" spans="1:6" x14ac:dyDescent="0.35">
      <c r="A10" s="10" t="s">
        <v>45</v>
      </c>
      <c r="B10" s="9">
        <v>0.55736274457036594</v>
      </c>
      <c r="C10" s="9">
        <v>0.06</v>
      </c>
      <c r="D10" s="9">
        <v>0.81</v>
      </c>
      <c r="E10" s="9">
        <v>0.86999999999999988</v>
      </c>
      <c r="F10" s="9">
        <v>-1.35</v>
      </c>
    </row>
    <row r="11" spans="1:6" x14ac:dyDescent="0.35">
      <c r="A11" s="10" t="s">
        <v>46</v>
      </c>
      <c r="B11" s="9">
        <v>0.63077854154671464</v>
      </c>
      <c r="C11" s="9">
        <v>0.06</v>
      </c>
      <c r="D11" s="9">
        <v>0.81</v>
      </c>
      <c r="E11" s="9">
        <v>0.86999999999999988</v>
      </c>
      <c r="F11" s="9">
        <v>-1.35</v>
      </c>
    </row>
    <row r="12" spans="1:6" x14ac:dyDescent="0.35">
      <c r="A12" s="10" t="s">
        <v>47</v>
      </c>
      <c r="B12" s="9">
        <v>0.21073948674995807</v>
      </c>
      <c r="C12" s="9">
        <v>0.06</v>
      </c>
      <c r="D12" s="9">
        <v>0.81</v>
      </c>
      <c r="E12" s="9">
        <v>0.86999999999999988</v>
      </c>
      <c r="F12" s="9">
        <v>-1.35</v>
      </c>
    </row>
    <row r="13" spans="1:6" x14ac:dyDescent="0.35">
      <c r="A13" s="10" t="s">
        <v>48</v>
      </c>
      <c r="B13" s="9">
        <v>0.65174735342709245</v>
      </c>
      <c r="C13" s="9">
        <v>0.06</v>
      </c>
      <c r="D13" s="9">
        <v>0.81</v>
      </c>
      <c r="E13" s="9">
        <v>0.86999999999999988</v>
      </c>
      <c r="F13" s="9">
        <v>-1.35</v>
      </c>
    </row>
    <row r="14" spans="1:6" x14ac:dyDescent="0.35">
      <c r="A14" s="7" t="s">
        <v>89</v>
      </c>
      <c r="B14" s="9"/>
      <c r="C14" s="9"/>
      <c r="D14" s="9"/>
      <c r="E14" s="9"/>
      <c r="F14" s="9"/>
    </row>
    <row r="15" spans="1:6" x14ac:dyDescent="0.35">
      <c r="A15" s="10" t="s">
        <v>45</v>
      </c>
      <c r="B15" s="9">
        <v>0.42755426600012614</v>
      </c>
      <c r="C15" s="9">
        <v>0.06</v>
      </c>
      <c r="D15" s="9">
        <v>0.81</v>
      </c>
      <c r="E15" s="9">
        <v>0.86999999999999988</v>
      </c>
      <c r="F15" s="9">
        <v>-1.35</v>
      </c>
    </row>
    <row r="16" spans="1:6" x14ac:dyDescent="0.35">
      <c r="A16" s="10" t="s">
        <v>46</v>
      </c>
      <c r="B16" s="9">
        <v>0.78257466585197077</v>
      </c>
      <c r="C16" s="9">
        <v>0.06</v>
      </c>
      <c r="D16" s="9">
        <v>0.81</v>
      </c>
      <c r="E16" s="9">
        <v>0.86999999999999988</v>
      </c>
      <c r="F16" s="9">
        <v>-1.35</v>
      </c>
    </row>
    <row r="17" spans="1:6" x14ac:dyDescent="0.35">
      <c r="A17" s="10" t="s">
        <v>47</v>
      </c>
      <c r="B17" s="9">
        <v>7.5883024746346228E-2</v>
      </c>
      <c r="C17" s="9">
        <v>0.06</v>
      </c>
      <c r="D17" s="9">
        <v>0.81</v>
      </c>
      <c r="E17" s="9">
        <v>0.86999999999999988</v>
      </c>
      <c r="F17" s="9">
        <v>-1.35</v>
      </c>
    </row>
    <row r="18" spans="1:6" x14ac:dyDescent="0.35">
      <c r="A18" s="10" t="s">
        <v>48</v>
      </c>
      <c r="B18" s="9">
        <v>0.92382162927539924</v>
      </c>
      <c r="C18" s="9">
        <v>0.06</v>
      </c>
      <c r="D18" s="9">
        <v>0.81</v>
      </c>
      <c r="E18" s="9">
        <v>0.86999999999999988</v>
      </c>
      <c r="F18" s="9">
        <v>-1.35</v>
      </c>
    </row>
    <row r="19" spans="1:6" x14ac:dyDescent="0.35">
      <c r="A19" s="7" t="s">
        <v>105</v>
      </c>
      <c r="B19" s="4">
        <v>5.4273031632976139</v>
      </c>
      <c r="C19">
        <v>0.7200000000000002</v>
      </c>
      <c r="D19">
        <v>9.7200000000000042</v>
      </c>
      <c r="E19">
        <v>10.439999999999998</v>
      </c>
      <c r="F19">
        <v>-16.2</v>
      </c>
    </row>
  </sheetData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D2B88-CF36-43A2-B056-451D8B23D8EB}">
  <dimension ref="A3:K19"/>
  <sheetViews>
    <sheetView workbookViewId="0">
      <selection activeCell="H18" sqref="H18"/>
    </sheetView>
  </sheetViews>
  <sheetFormatPr defaultRowHeight="14.5" x14ac:dyDescent="0.35"/>
  <cols>
    <col min="1" max="1" width="12.36328125" bestFit="1" customWidth="1"/>
    <col min="2" max="2" width="23.90625" bestFit="1" customWidth="1"/>
    <col min="3" max="3" width="15.54296875" bestFit="1" customWidth="1"/>
    <col min="4" max="4" width="22.453125" bestFit="1" customWidth="1"/>
    <col min="5" max="5" width="16.81640625" bestFit="1" customWidth="1"/>
    <col min="6" max="6" width="16.453125" bestFit="1" customWidth="1"/>
  </cols>
  <sheetData>
    <row r="3" spans="1:11" x14ac:dyDescent="0.35">
      <c r="A3" s="6" t="s">
        <v>104</v>
      </c>
      <c r="B3" t="s">
        <v>96</v>
      </c>
      <c r="C3" t="s">
        <v>98</v>
      </c>
      <c r="D3" t="s">
        <v>97</v>
      </c>
      <c r="E3" t="s">
        <v>99</v>
      </c>
      <c r="F3" t="s">
        <v>100</v>
      </c>
      <c r="K3" t="s">
        <v>90</v>
      </c>
    </row>
    <row r="4" spans="1:11" x14ac:dyDescent="0.35">
      <c r="A4" s="7" t="s">
        <v>44</v>
      </c>
      <c r="B4" s="4">
        <v>0.11399061033135793</v>
      </c>
      <c r="C4" s="4">
        <v>-0.30834018358059906</v>
      </c>
      <c r="D4" s="4">
        <v>-0.32456334832623485</v>
      </c>
      <c r="E4" s="4">
        <v>0.27865063499971043</v>
      </c>
      <c r="F4" s="4">
        <v>0.91611905718249187</v>
      </c>
      <c r="K4" s="4">
        <f>B4/C4</f>
        <v>-0.36969106331728308</v>
      </c>
    </row>
    <row r="5" spans="1:11" x14ac:dyDescent="0.35">
      <c r="A5" s="10" t="s">
        <v>45</v>
      </c>
      <c r="B5" s="4">
        <v>-0.17039462675891126</v>
      </c>
      <c r="C5" s="4">
        <v>-0.30834018358059906</v>
      </c>
      <c r="D5" s="4">
        <v>-0.32456334832623485</v>
      </c>
      <c r="E5" s="4">
        <v>0.27865063499971043</v>
      </c>
      <c r="F5" s="4">
        <v>0.91611905718249187</v>
      </c>
      <c r="K5" s="4">
        <f>B5/C5</f>
        <v>0.55261894437567105</v>
      </c>
    </row>
    <row r="6" spans="1:11" x14ac:dyDescent="0.35">
      <c r="A6" s="10" t="s">
        <v>46</v>
      </c>
      <c r="B6" s="4">
        <v>0.29094265458809493</v>
      </c>
      <c r="C6" s="4">
        <v>-0.30834018358059906</v>
      </c>
      <c r="D6" s="4">
        <v>-0.32456334832623485</v>
      </c>
      <c r="E6" s="4">
        <v>0.27865063499971043</v>
      </c>
      <c r="F6" s="4">
        <v>0.91611905718249187</v>
      </c>
      <c r="K6" s="4">
        <f>B6/C6</f>
        <v>-0.94357683520040947</v>
      </c>
    </row>
    <row r="7" spans="1:11" x14ac:dyDescent="0.35">
      <c r="A7" s="10" t="s">
        <v>47</v>
      </c>
      <c r="B7" s="4">
        <v>8.7533153154446972E-2</v>
      </c>
      <c r="C7" s="4">
        <v>-0.30834018358059906</v>
      </c>
      <c r="D7" s="4">
        <v>-0.32456334832623485</v>
      </c>
      <c r="E7" s="4">
        <v>0.27865063499971043</v>
      </c>
      <c r="F7" s="4">
        <v>0.91611905718249187</v>
      </c>
      <c r="K7" s="4">
        <f>B7/C7</f>
        <v>-0.28388500044972603</v>
      </c>
    </row>
    <row r="8" spans="1:11" x14ac:dyDescent="0.35">
      <c r="A8" s="10" t="s">
        <v>48</v>
      </c>
      <c r="B8" s="4">
        <v>0.24788126034180111</v>
      </c>
      <c r="C8" s="4">
        <v>-0.30834018358059906</v>
      </c>
      <c r="D8" s="4">
        <v>-0.32456334832623485</v>
      </c>
      <c r="E8" s="4">
        <v>0.27865063499971043</v>
      </c>
      <c r="F8" s="4">
        <v>0.91611905718249187</v>
      </c>
    </row>
    <row r="9" spans="1:11" x14ac:dyDescent="0.35">
      <c r="A9" s="7" t="s">
        <v>88</v>
      </c>
      <c r="B9" s="4">
        <v>0.21637338196817243</v>
      </c>
      <c r="C9" s="4">
        <v>-0.30834018358059906</v>
      </c>
      <c r="D9" s="4">
        <v>-0.32456334832623485</v>
      </c>
      <c r="E9" s="4">
        <v>0.27865063499971043</v>
      </c>
      <c r="F9" s="4">
        <v>0.91611905718249187</v>
      </c>
    </row>
    <row r="10" spans="1:11" x14ac:dyDescent="0.35">
      <c r="A10" s="10" t="s">
        <v>45</v>
      </c>
      <c r="B10" s="4">
        <v>0.20908059718819069</v>
      </c>
      <c r="C10" s="4">
        <v>-0.30834018358059906</v>
      </c>
      <c r="D10" s="4">
        <v>-0.32456334832623485</v>
      </c>
      <c r="E10" s="4">
        <v>0.27865063499971043</v>
      </c>
      <c r="F10" s="4">
        <v>0.91611905718249187</v>
      </c>
    </row>
    <row r="11" spans="1:11" x14ac:dyDescent="0.35">
      <c r="A11" s="10" t="s">
        <v>46</v>
      </c>
      <c r="B11" s="4">
        <v>0.18527782996010822</v>
      </c>
      <c r="C11" s="4">
        <v>-0.30834018358059906</v>
      </c>
      <c r="D11" s="4">
        <v>-0.32456334832623485</v>
      </c>
      <c r="E11" s="4">
        <v>0.27865063499971043</v>
      </c>
      <c r="F11" s="4">
        <v>0.91611905718249187</v>
      </c>
    </row>
    <row r="12" spans="1:11" x14ac:dyDescent="0.35">
      <c r="A12" s="10" t="s">
        <v>47</v>
      </c>
      <c r="B12" s="4">
        <v>5.5056862035950144E-2</v>
      </c>
      <c r="C12" s="4">
        <v>-0.30834018358059906</v>
      </c>
      <c r="D12" s="4">
        <v>-0.32456334832623485</v>
      </c>
      <c r="E12" s="4">
        <v>0.27865063499971043</v>
      </c>
      <c r="F12" s="4">
        <v>0.91611905718249187</v>
      </c>
    </row>
    <row r="13" spans="1:11" x14ac:dyDescent="0.35">
      <c r="A13" s="10" t="s">
        <v>48</v>
      </c>
      <c r="B13" s="4">
        <v>0.41607823868844068</v>
      </c>
      <c r="C13" s="4">
        <v>-0.30834018358059906</v>
      </c>
      <c r="D13" s="4">
        <v>-0.32456334832623485</v>
      </c>
      <c r="E13" s="4">
        <v>0.27865063499971043</v>
      </c>
      <c r="F13" s="4">
        <v>0.91611905718249187</v>
      </c>
    </row>
    <row r="14" spans="1:11" x14ac:dyDescent="0.35">
      <c r="A14" s="7" t="s">
        <v>89</v>
      </c>
      <c r="B14" s="4">
        <v>0.21558942964151293</v>
      </c>
      <c r="C14" s="4">
        <v>-0.30834018358059906</v>
      </c>
      <c r="D14" s="4">
        <v>-0.32456334832623485</v>
      </c>
      <c r="E14" s="4">
        <v>0.27865063499971043</v>
      </c>
      <c r="F14" s="4">
        <v>0.91611905718249187</v>
      </c>
    </row>
    <row r="15" spans="1:11" x14ac:dyDescent="0.35">
      <c r="A15" s="10" t="s">
        <v>45</v>
      </c>
      <c r="B15" s="4">
        <v>0.11111488336491053</v>
      </c>
      <c r="C15" s="4">
        <v>-0.30834018358059906</v>
      </c>
      <c r="D15" s="4">
        <v>-0.32456334832623485</v>
      </c>
      <c r="E15" s="4">
        <v>0.27865063499971043</v>
      </c>
      <c r="F15" s="4">
        <v>0.91611905718249187</v>
      </c>
    </row>
    <row r="16" spans="1:11" x14ac:dyDescent="0.35">
      <c r="A16" s="10" t="s">
        <v>46</v>
      </c>
      <c r="B16" s="4">
        <v>0.22433690251161667</v>
      </c>
      <c r="C16" s="4">
        <v>-0.30834018358059906</v>
      </c>
      <c r="D16" s="4">
        <v>-0.32456334832623485</v>
      </c>
      <c r="E16" s="4">
        <v>0.27865063499971043</v>
      </c>
      <c r="F16" s="4">
        <v>0.91611905718249187</v>
      </c>
    </row>
    <row r="17" spans="1:6" x14ac:dyDescent="0.35">
      <c r="A17" s="10" t="s">
        <v>47</v>
      </c>
      <c r="B17" s="4">
        <v>3.7868738408665559E-2</v>
      </c>
      <c r="C17" s="4">
        <v>-0.30834018358059906</v>
      </c>
      <c r="D17" s="4">
        <v>-0.32456334832623485</v>
      </c>
      <c r="E17" s="4">
        <v>0.27865063499971043</v>
      </c>
      <c r="F17" s="4">
        <v>0.91611905718249187</v>
      </c>
    </row>
    <row r="18" spans="1:6" x14ac:dyDescent="0.35">
      <c r="A18" s="10" t="s">
        <v>48</v>
      </c>
      <c r="B18" s="4">
        <v>0.48903719428085896</v>
      </c>
      <c r="C18" s="4">
        <v>-0.30834018358059906</v>
      </c>
      <c r="D18" s="4">
        <v>-0.32456334832623485</v>
      </c>
      <c r="E18" s="4">
        <v>0.27865063499971043</v>
      </c>
      <c r="F18" s="4">
        <v>0.91611905718249187</v>
      </c>
    </row>
    <row r="19" spans="1:6" x14ac:dyDescent="0.35">
      <c r="A19" s="7" t="s">
        <v>105</v>
      </c>
      <c r="B19" s="4">
        <v>0.18198447398034776</v>
      </c>
      <c r="C19" s="4">
        <v>-0.30834018358059906</v>
      </c>
      <c r="D19" s="4">
        <v>-0.32456334832623485</v>
      </c>
      <c r="E19" s="4">
        <v>0.27865063499971043</v>
      </c>
      <c r="F19" s="4">
        <v>0.91611905718249198</v>
      </c>
    </row>
  </sheetData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ADC40-8BFD-46B5-8BCC-F60CFB83F272}">
  <dimension ref="A3:A7"/>
  <sheetViews>
    <sheetView workbookViewId="0">
      <selection activeCell="A3" sqref="A3"/>
    </sheetView>
  </sheetViews>
  <sheetFormatPr defaultRowHeight="14.5" x14ac:dyDescent="0.35"/>
  <cols>
    <col min="1" max="1" width="20.54296875" bestFit="1" customWidth="1"/>
  </cols>
  <sheetData>
    <row r="3" spans="1:1" x14ac:dyDescent="0.35">
      <c r="A3" s="6" t="s">
        <v>42</v>
      </c>
    </row>
    <row r="4" spans="1:1" x14ac:dyDescent="0.35">
      <c r="A4" s="7" t="s">
        <v>44</v>
      </c>
    </row>
    <row r="5" spans="1:1" x14ac:dyDescent="0.35">
      <c r="A5" s="7" t="s">
        <v>88</v>
      </c>
    </row>
    <row r="6" spans="1:1" x14ac:dyDescent="0.35">
      <c r="A6" s="7" t="s">
        <v>89</v>
      </c>
    </row>
    <row r="7" spans="1:1" x14ac:dyDescent="0.35">
      <c r="A7" s="7" t="s">
        <v>43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B8DA3-70B2-44F6-930F-5D90E193D89B}">
  <dimension ref="A3:F19"/>
  <sheetViews>
    <sheetView topLeftCell="C1" workbookViewId="0">
      <selection activeCell="E20" sqref="E20"/>
    </sheetView>
  </sheetViews>
  <sheetFormatPr defaultRowHeight="14.5" x14ac:dyDescent="0.35"/>
  <cols>
    <col min="1" max="1" width="20.54296875" bestFit="1" customWidth="1"/>
    <col min="2" max="2" width="23.7265625" bestFit="1" customWidth="1"/>
    <col min="3" max="3" width="16.453125" bestFit="1" customWidth="1"/>
    <col min="4" max="4" width="25.26953125" bestFit="1" customWidth="1"/>
    <col min="5" max="5" width="18.1796875" bestFit="1" customWidth="1"/>
    <col min="6" max="6" width="17.54296875" bestFit="1" customWidth="1"/>
  </cols>
  <sheetData>
    <row r="3" spans="1:6" x14ac:dyDescent="0.35">
      <c r="A3" s="6" t="s">
        <v>42</v>
      </c>
      <c r="B3" t="s">
        <v>97</v>
      </c>
      <c r="C3" t="s">
        <v>98</v>
      </c>
      <c r="D3" t="s">
        <v>96</v>
      </c>
      <c r="E3" t="s">
        <v>99</v>
      </c>
      <c r="F3" t="s">
        <v>100</v>
      </c>
    </row>
    <row r="4" spans="1:6" x14ac:dyDescent="0.35">
      <c r="A4" s="7" t="s">
        <v>44</v>
      </c>
    </row>
    <row r="5" spans="1:6" x14ac:dyDescent="0.35">
      <c r="A5" s="10" t="s">
        <v>45</v>
      </c>
      <c r="B5" s="16">
        <v>-0.32456334832623485</v>
      </c>
      <c r="C5" s="16">
        <v>-0.30834018358059906</v>
      </c>
      <c r="D5" s="16">
        <v>-0.17039462675891126</v>
      </c>
      <c r="E5" s="16">
        <v>0.27865063499971043</v>
      </c>
      <c r="F5" s="16">
        <v>0.91611905718249187</v>
      </c>
    </row>
    <row r="6" spans="1:6" x14ac:dyDescent="0.35">
      <c r="A6" s="10" t="s">
        <v>46</v>
      </c>
      <c r="B6" s="16">
        <v>-0.32456334832623485</v>
      </c>
      <c r="C6" s="16">
        <v>-0.30834018358059906</v>
      </c>
      <c r="D6" s="16">
        <v>0.29094265458809493</v>
      </c>
      <c r="E6" s="16">
        <v>0.27865063499971043</v>
      </c>
      <c r="F6" s="16">
        <v>0.91611905718249187</v>
      </c>
    </row>
    <row r="7" spans="1:6" x14ac:dyDescent="0.35">
      <c r="A7" s="10" t="s">
        <v>47</v>
      </c>
      <c r="B7" s="16">
        <v>-0.32456334832623485</v>
      </c>
      <c r="C7" s="16">
        <v>-0.30834018358059906</v>
      </c>
      <c r="D7" s="16">
        <v>8.7533153154446972E-2</v>
      </c>
      <c r="E7" s="16">
        <v>0.27865063499971043</v>
      </c>
      <c r="F7" s="16">
        <v>0.91611905718249187</v>
      </c>
    </row>
    <row r="8" spans="1:6" x14ac:dyDescent="0.35">
      <c r="A8" s="10" t="s">
        <v>48</v>
      </c>
      <c r="B8" s="16">
        <v>-0.32456334832623485</v>
      </c>
      <c r="C8" s="16">
        <v>-0.30834018358059906</v>
      </c>
      <c r="D8" s="16">
        <v>0.24788126034180111</v>
      </c>
      <c r="E8" s="16">
        <v>0.27865063499971043</v>
      </c>
      <c r="F8" s="16">
        <v>0.91611905718249187</v>
      </c>
    </row>
    <row r="9" spans="1:6" x14ac:dyDescent="0.35">
      <c r="A9" s="7" t="s">
        <v>88</v>
      </c>
      <c r="B9" s="16"/>
      <c r="C9" s="16"/>
      <c r="D9" s="16"/>
      <c r="E9" s="16"/>
      <c r="F9" s="16"/>
    </row>
    <row r="10" spans="1:6" x14ac:dyDescent="0.35">
      <c r="A10" s="10" t="s">
        <v>45</v>
      </c>
      <c r="B10" s="16">
        <v>-0.32456334832623485</v>
      </c>
      <c r="C10" s="16">
        <v>-0.30834018358059906</v>
      </c>
      <c r="D10" s="16">
        <v>0.20908059718819069</v>
      </c>
      <c r="E10" s="16">
        <v>0.27865063499971043</v>
      </c>
      <c r="F10" s="16">
        <v>0.91611905718249187</v>
      </c>
    </row>
    <row r="11" spans="1:6" x14ac:dyDescent="0.35">
      <c r="A11" s="10" t="s">
        <v>46</v>
      </c>
      <c r="B11" s="16">
        <v>-0.32456334832623485</v>
      </c>
      <c r="C11" s="16">
        <v>-0.30834018358059906</v>
      </c>
      <c r="D11" s="16">
        <v>0.18527782996010822</v>
      </c>
      <c r="E11" s="16">
        <v>0.27865063499971043</v>
      </c>
      <c r="F11" s="16">
        <v>0.91611905718249187</v>
      </c>
    </row>
    <row r="12" spans="1:6" x14ac:dyDescent="0.35">
      <c r="A12" s="10" t="s">
        <v>47</v>
      </c>
      <c r="B12" s="16">
        <v>-0.32456334832623485</v>
      </c>
      <c r="C12" s="16">
        <v>-0.30834018358059906</v>
      </c>
      <c r="D12" s="16">
        <v>5.5056862035950144E-2</v>
      </c>
      <c r="E12" s="16">
        <v>0.27865063499971043</v>
      </c>
      <c r="F12" s="16">
        <v>0.91611905718249187</v>
      </c>
    </row>
    <row r="13" spans="1:6" x14ac:dyDescent="0.35">
      <c r="A13" s="10" t="s">
        <v>48</v>
      </c>
      <c r="B13" s="16">
        <v>-0.32456334832623485</v>
      </c>
      <c r="C13" s="16">
        <v>-0.30834018358059906</v>
      </c>
      <c r="D13" s="16">
        <v>0.41607823868844068</v>
      </c>
      <c r="E13" s="16">
        <v>0.27865063499971043</v>
      </c>
      <c r="F13" s="16">
        <v>0.91611905718249187</v>
      </c>
    </row>
    <row r="14" spans="1:6" x14ac:dyDescent="0.35">
      <c r="A14" s="7" t="s">
        <v>89</v>
      </c>
      <c r="B14" s="16"/>
      <c r="C14" s="16"/>
      <c r="D14" s="16"/>
      <c r="E14" s="16"/>
      <c r="F14" s="16"/>
    </row>
    <row r="15" spans="1:6" x14ac:dyDescent="0.35">
      <c r="A15" s="10" t="s">
        <v>45</v>
      </c>
      <c r="B15" s="16">
        <v>-0.32456334832623485</v>
      </c>
      <c r="C15" s="16">
        <v>-0.30834018358059906</v>
      </c>
      <c r="D15" s="16">
        <v>0.11111488336491053</v>
      </c>
      <c r="E15" s="16">
        <v>0.27865063499971043</v>
      </c>
      <c r="F15" s="16">
        <v>0.91611905718249187</v>
      </c>
    </row>
    <row r="16" spans="1:6" x14ac:dyDescent="0.35">
      <c r="A16" s="10" t="s">
        <v>46</v>
      </c>
      <c r="B16" s="16">
        <v>-0.32456334832623485</v>
      </c>
      <c r="C16" s="16">
        <v>-0.30834018358059906</v>
      </c>
      <c r="D16" s="16">
        <v>0.22433690251161667</v>
      </c>
      <c r="E16" s="16">
        <v>0.27865063499971043</v>
      </c>
      <c r="F16" s="16">
        <v>0.91611905718249187</v>
      </c>
    </row>
    <row r="17" spans="1:6" x14ac:dyDescent="0.35">
      <c r="A17" s="10" t="s">
        <v>47</v>
      </c>
      <c r="B17" s="16">
        <v>-0.32456334832623485</v>
      </c>
      <c r="C17" s="16">
        <v>-0.30834018358059906</v>
      </c>
      <c r="D17" s="16">
        <v>3.7868738408665559E-2</v>
      </c>
      <c r="E17" s="16">
        <v>0.27865063499971043</v>
      </c>
      <c r="F17" s="16">
        <v>0.91611905718249187</v>
      </c>
    </row>
    <row r="18" spans="1:6" x14ac:dyDescent="0.35">
      <c r="A18" s="10" t="s">
        <v>48</v>
      </c>
      <c r="B18" s="16">
        <v>-0.32456334832623485</v>
      </c>
      <c r="C18" s="16">
        <v>-0.30834018358059906</v>
      </c>
      <c r="D18" s="16">
        <v>0.48903719428085896</v>
      </c>
      <c r="E18" s="16">
        <v>0.27865063499971043</v>
      </c>
      <c r="F18" s="16">
        <v>0.91611905718249187</v>
      </c>
    </row>
    <row r="19" spans="1:6" x14ac:dyDescent="0.35">
      <c r="A19" s="7" t="s">
        <v>43</v>
      </c>
      <c r="B19" s="16">
        <v>-0.32456334832623485</v>
      </c>
      <c r="C19" s="16">
        <v>-0.30834018358059906</v>
      </c>
      <c r="D19" s="16">
        <v>0.18198447398034776</v>
      </c>
      <c r="E19" s="16">
        <v>0.27865063499971043</v>
      </c>
      <c r="F19" s="16">
        <v>0.91611905718249198</v>
      </c>
    </row>
  </sheetData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81D6C-50E1-4D0D-B150-B903214CD384}">
  <dimension ref="A3:B19"/>
  <sheetViews>
    <sheetView topLeftCell="A8" workbookViewId="0">
      <selection activeCell="A14" sqref="A14"/>
    </sheetView>
  </sheetViews>
  <sheetFormatPr defaultRowHeight="14.5" x14ac:dyDescent="0.35"/>
  <cols>
    <col min="1" max="1" width="15.453125" bestFit="1" customWidth="1"/>
    <col min="2" max="2" width="18.26953125" bestFit="1" customWidth="1"/>
  </cols>
  <sheetData>
    <row r="3" spans="1:2" x14ac:dyDescent="0.35">
      <c r="A3" s="6" t="s">
        <v>104</v>
      </c>
      <c r="B3" t="s">
        <v>102</v>
      </c>
    </row>
    <row r="4" spans="1:2" x14ac:dyDescent="0.35">
      <c r="A4" s="7" t="s">
        <v>44</v>
      </c>
      <c r="B4" s="16"/>
    </row>
    <row r="5" spans="1:2" x14ac:dyDescent="0.35">
      <c r="A5" s="10" t="s">
        <v>45</v>
      </c>
      <c r="B5" s="16">
        <v>0.69666666666666666</v>
      </c>
    </row>
    <row r="6" spans="1:2" x14ac:dyDescent="0.35">
      <c r="A6" s="10" t="s">
        <v>46</v>
      </c>
      <c r="B6" s="16">
        <v>0.67164079019355605</v>
      </c>
    </row>
    <row r="7" spans="1:2" x14ac:dyDescent="0.35">
      <c r="A7" s="10" t="s">
        <v>47</v>
      </c>
      <c r="B7" s="16">
        <v>0.71</v>
      </c>
    </row>
    <row r="8" spans="1:2" x14ac:dyDescent="0.35">
      <c r="A8" s="10" t="s">
        <v>48</v>
      </c>
      <c r="B8" s="16">
        <v>0.75128342461016351</v>
      </c>
    </row>
    <row r="9" spans="1:2" x14ac:dyDescent="0.35">
      <c r="A9" s="7" t="s">
        <v>88</v>
      </c>
      <c r="B9" s="16"/>
    </row>
    <row r="10" spans="1:2" x14ac:dyDescent="0.35">
      <c r="A10" s="10" t="s">
        <v>45</v>
      </c>
      <c r="B10" s="16">
        <v>0.75999863914334076</v>
      </c>
    </row>
    <row r="11" spans="1:2" x14ac:dyDescent="0.35">
      <c r="A11" s="10" t="s">
        <v>46</v>
      </c>
      <c r="B11" s="16">
        <v>0.71818733644048727</v>
      </c>
    </row>
    <row r="12" spans="1:2" x14ac:dyDescent="0.35">
      <c r="A12" s="10" t="s">
        <v>47</v>
      </c>
      <c r="B12" s="16">
        <v>0.71733006018489343</v>
      </c>
    </row>
    <row r="13" spans="1:2" x14ac:dyDescent="0.35">
      <c r="A13" s="10" t="s">
        <v>48</v>
      </c>
      <c r="B13" s="16">
        <v>0.74352331309127306</v>
      </c>
    </row>
    <row r="14" spans="1:2" x14ac:dyDescent="0.35">
      <c r="A14" s="7" t="s">
        <v>89</v>
      </c>
      <c r="B14" s="16"/>
    </row>
    <row r="15" spans="1:2" x14ac:dyDescent="0.35">
      <c r="A15" s="10" t="s">
        <v>45</v>
      </c>
      <c r="B15" s="16">
        <v>0.74999965766039633</v>
      </c>
    </row>
    <row r="16" spans="1:2" x14ac:dyDescent="0.35">
      <c r="A16" s="10" t="s">
        <v>46</v>
      </c>
      <c r="B16" s="16">
        <v>0.75</v>
      </c>
    </row>
    <row r="17" spans="1:2" x14ac:dyDescent="0.35">
      <c r="A17" s="10" t="s">
        <v>47</v>
      </c>
      <c r="B17" s="16">
        <v>0.76456698497465736</v>
      </c>
    </row>
    <row r="18" spans="1:2" x14ac:dyDescent="0.35">
      <c r="A18" s="10" t="s">
        <v>48</v>
      </c>
      <c r="B18" s="16">
        <v>0.83666666666666678</v>
      </c>
    </row>
    <row r="19" spans="1:2" x14ac:dyDescent="0.35">
      <c r="A19" s="7" t="s">
        <v>103</v>
      </c>
      <c r="B19" s="16">
        <v>0.73915529496934174</v>
      </c>
    </row>
  </sheetData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P63"/>
  <sheetViews>
    <sheetView tabSelected="1" topLeftCell="H24" workbookViewId="0">
      <selection activeCell="P1" sqref="P1:P37"/>
    </sheetView>
  </sheetViews>
  <sheetFormatPr defaultRowHeight="14.5" x14ac:dyDescent="0.35"/>
  <cols>
    <col min="1" max="1" width="10.453125" bestFit="1" customWidth="1"/>
    <col min="2" max="2" width="16.1796875" customWidth="1"/>
    <col min="3" max="3" width="18.26953125" customWidth="1"/>
    <col min="4" max="4" width="17.7265625" customWidth="1"/>
    <col min="5" max="5" width="11.7265625" customWidth="1"/>
    <col min="6" max="6" width="16.7265625" customWidth="1"/>
    <col min="7" max="7" width="20.1796875" customWidth="1"/>
    <col min="8" max="8" width="13.1796875" customWidth="1"/>
    <col min="9" max="9" width="14.453125" customWidth="1"/>
    <col min="10" max="10" width="22.54296875" customWidth="1"/>
    <col min="11" max="11" width="10.81640625" customWidth="1"/>
    <col min="12" max="12" width="16.7265625" customWidth="1"/>
    <col min="13" max="13" width="21.7265625" customWidth="1"/>
    <col min="14" max="14" width="9.54296875" customWidth="1"/>
    <col min="15" max="15" width="12" bestFit="1" customWidth="1"/>
    <col min="16" max="16" width="10.26953125" customWidth="1"/>
    <col min="17" max="17" width="18.7265625" customWidth="1"/>
    <col min="18" max="18" width="14.26953125" customWidth="1"/>
    <col min="20" max="20" width="16.26953125" customWidth="1"/>
    <col min="21" max="21" width="19.54296875" customWidth="1"/>
    <col min="22" max="22" width="26" customWidth="1"/>
    <col min="24" max="24" width="24" bestFit="1" customWidth="1"/>
    <col min="26" max="26" width="10" customWidth="1"/>
    <col min="28" max="28" width="16" customWidth="1"/>
    <col min="29" max="29" width="11.26953125" customWidth="1"/>
    <col min="30" max="30" width="11.453125" customWidth="1"/>
    <col min="31" max="31" width="11.54296875" customWidth="1"/>
    <col min="32" max="32" width="18.7265625" bestFit="1" customWidth="1"/>
    <col min="33" max="33" width="18.7265625" customWidth="1"/>
    <col min="37" max="37" width="17.453125" bestFit="1" customWidth="1"/>
  </cols>
  <sheetData>
    <row r="1" spans="1:42" x14ac:dyDescent="0.35">
      <c r="A1" t="s">
        <v>19</v>
      </c>
      <c r="B1" t="s">
        <v>0</v>
      </c>
      <c r="C1" t="s">
        <v>1</v>
      </c>
      <c r="D1" t="s">
        <v>2</v>
      </c>
      <c r="E1" t="s">
        <v>3</v>
      </c>
      <c r="F1" s="1" t="s">
        <v>4</v>
      </c>
      <c r="G1" s="3" t="s">
        <v>5</v>
      </c>
      <c r="H1" s="3" t="s">
        <v>6</v>
      </c>
      <c r="I1" t="s">
        <v>101</v>
      </c>
      <c r="J1" s="3" t="s">
        <v>8</v>
      </c>
      <c r="K1" t="s">
        <v>9</v>
      </c>
      <c r="L1" t="s">
        <v>10</v>
      </c>
      <c r="M1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t="s">
        <v>18</v>
      </c>
      <c r="U1" t="s">
        <v>33</v>
      </c>
      <c r="V1" t="s">
        <v>38</v>
      </c>
      <c r="W1" t="s">
        <v>32</v>
      </c>
      <c r="X1" t="s">
        <v>50</v>
      </c>
      <c r="Y1" t="s">
        <v>35</v>
      </c>
      <c r="Z1" t="s">
        <v>36</v>
      </c>
      <c r="AA1" t="s">
        <v>37</v>
      </c>
      <c r="AB1" t="s">
        <v>34</v>
      </c>
      <c r="AC1" t="s">
        <v>39</v>
      </c>
      <c r="AD1" t="s">
        <v>40</v>
      </c>
      <c r="AE1" t="s">
        <v>41</v>
      </c>
      <c r="AF1" t="s">
        <v>75</v>
      </c>
      <c r="AG1" t="s">
        <v>85</v>
      </c>
      <c r="AH1" t="s">
        <v>78</v>
      </c>
      <c r="AI1" t="s">
        <v>79</v>
      </c>
      <c r="AJ1" t="s">
        <v>80</v>
      </c>
      <c r="AK1" t="s">
        <v>76</v>
      </c>
      <c r="AL1" t="s">
        <v>95</v>
      </c>
      <c r="AM1" t="s">
        <v>91</v>
      </c>
      <c r="AN1" t="s">
        <v>92</v>
      </c>
      <c r="AO1" t="s">
        <v>93</v>
      </c>
      <c r="AP1" t="s">
        <v>87</v>
      </c>
    </row>
    <row r="2" spans="1:42" x14ac:dyDescent="0.35">
      <c r="A2" s="2">
        <v>43466</v>
      </c>
      <c r="B2">
        <v>70344.399999999994</v>
      </c>
      <c r="C2">
        <v>0</v>
      </c>
      <c r="D2">
        <v>0</v>
      </c>
      <c r="E2">
        <v>2429.33</v>
      </c>
      <c r="F2" s="1">
        <f>SUM(B2:E2)</f>
        <v>72773.73</v>
      </c>
      <c r="G2">
        <v>966.23</v>
      </c>
      <c r="H2">
        <v>4380.63</v>
      </c>
      <c r="I2">
        <v>0</v>
      </c>
      <c r="J2">
        <v>2973.52</v>
      </c>
      <c r="K2">
        <v>7690.23</v>
      </c>
      <c r="L2">
        <v>5572.0400000000009</v>
      </c>
      <c r="M2">
        <v>6440.0400000000009</v>
      </c>
      <c r="N2">
        <v>3782.54</v>
      </c>
      <c r="O2">
        <v>1105.95</v>
      </c>
      <c r="P2">
        <v>71246.76999999999</v>
      </c>
      <c r="Q2">
        <v>1189.8</v>
      </c>
      <c r="R2">
        <v>42</v>
      </c>
      <c r="S2">
        <v>0</v>
      </c>
      <c r="T2" s="1">
        <f>SUM(G2:S2)</f>
        <v>105389.74999999999</v>
      </c>
      <c r="U2">
        <f>F2-T2</f>
        <v>-32616.01999999999</v>
      </c>
      <c r="V2">
        <f>SUM(G2,H2,J2,N2,O2,P2,Q2,R2,S2)</f>
        <v>85687.439999999988</v>
      </c>
      <c r="W2">
        <v>100492</v>
      </c>
      <c r="X2" s="4">
        <f>V2/W2</f>
        <v>0.85267921824622839</v>
      </c>
      <c r="Y2">
        <v>0.47</v>
      </c>
      <c r="Z2">
        <v>0.18</v>
      </c>
      <c r="AA2">
        <v>0.2</v>
      </c>
      <c r="AB2" s="4">
        <f>B2/P2</f>
        <v>0.98733458372919924</v>
      </c>
      <c r="AC2">
        <v>1.43</v>
      </c>
      <c r="AD2">
        <v>0.65</v>
      </c>
      <c r="AE2">
        <v>0.64</v>
      </c>
      <c r="AF2" s="21">
        <f>U2/F2</f>
        <v>-0.44818398067544418</v>
      </c>
      <c r="AG2" s="21">
        <v>-0.45</v>
      </c>
      <c r="AH2" s="21">
        <v>0.02</v>
      </c>
      <c r="AI2" s="21">
        <v>0.27</v>
      </c>
      <c r="AJ2" s="21">
        <v>0.28999999999999998</v>
      </c>
      <c r="AK2" s="4">
        <f>Таблица1[[#This Row],[Печалба на месец]]/Таблица1[[#This Row],[Литри]]</f>
        <v>-0.32456334832623485</v>
      </c>
      <c r="AL2">
        <v>-0.32456334832623485</v>
      </c>
      <c r="AM2">
        <v>-0.30834018358059906</v>
      </c>
      <c r="AN2">
        <v>0.27865063499971043</v>
      </c>
      <c r="AO2">
        <v>0.91611905718249187</v>
      </c>
      <c r="AP2" s="16">
        <v>0.7</v>
      </c>
    </row>
    <row r="3" spans="1:42" x14ac:dyDescent="0.35">
      <c r="A3" s="2">
        <v>43497</v>
      </c>
      <c r="B3">
        <v>88714.5</v>
      </c>
      <c r="C3">
        <v>2356</v>
      </c>
      <c r="D3">
        <v>0</v>
      </c>
      <c r="E3">
        <v>0</v>
      </c>
      <c r="F3" s="1">
        <f t="shared" ref="F3:F37" si="0">SUM(B3:E3)</f>
        <v>91070.5</v>
      </c>
      <c r="G3">
        <v>1349.9099999999999</v>
      </c>
      <c r="H3">
        <v>3967.65</v>
      </c>
      <c r="I3">
        <v>0</v>
      </c>
      <c r="J3">
        <v>3550.95</v>
      </c>
      <c r="K3">
        <v>6000</v>
      </c>
      <c r="L3">
        <v>10427.81</v>
      </c>
      <c r="M3">
        <v>1713.8</v>
      </c>
      <c r="N3">
        <v>3697.19</v>
      </c>
      <c r="O3">
        <v>3078.37</v>
      </c>
      <c r="P3">
        <v>71556.709999999992</v>
      </c>
      <c r="Q3">
        <v>1333.4</v>
      </c>
      <c r="R3">
        <v>0</v>
      </c>
      <c r="S3">
        <v>210</v>
      </c>
      <c r="T3" s="1">
        <f t="shared" ref="T3:T37" si="1">SUM(G3:S3)</f>
        <v>106885.78999999998</v>
      </c>
      <c r="U3">
        <f t="shared" ref="U3:U37" si="2">F3-T3</f>
        <v>-15815.289999999979</v>
      </c>
      <c r="V3">
        <f t="shared" ref="V3:V37" si="3">SUM(G3,H3,J3,N3,O3,P3,Q3,R3,S3)</f>
        <v>88744.18</v>
      </c>
      <c r="W3">
        <v>126735</v>
      </c>
      <c r="X3" s="4">
        <f t="shared" ref="X3:X37" si="4">V3/W3</f>
        <v>0.70023418945042804</v>
      </c>
      <c r="Y3">
        <v>0.47</v>
      </c>
      <c r="Z3">
        <v>0.18</v>
      </c>
      <c r="AA3">
        <v>0.2</v>
      </c>
      <c r="AB3" s="4">
        <f t="shared" ref="AB3:AB37" si="5">B3/P3</f>
        <v>1.2397789110203643</v>
      </c>
      <c r="AC3">
        <v>1.43</v>
      </c>
      <c r="AD3">
        <v>0.65</v>
      </c>
      <c r="AE3">
        <v>0.64</v>
      </c>
      <c r="AF3" s="21">
        <f t="shared" ref="AF3:AF37" si="6">U3/F3</f>
        <v>-0.17365985692403116</v>
      </c>
      <c r="AG3" s="21">
        <v>-0.45</v>
      </c>
      <c r="AH3" s="21">
        <v>0.02</v>
      </c>
      <c r="AI3" s="21">
        <v>0.27</v>
      </c>
      <c r="AJ3" s="21">
        <v>0.28999999999999998</v>
      </c>
      <c r="AK3" s="4">
        <f>Таблица1[[#This Row],[Печалба на месец]]/Таблица1[[#This Row],[Литри]]</f>
        <v>-0.12479023158559181</v>
      </c>
      <c r="AL3">
        <v>-0.32456334832623485</v>
      </c>
      <c r="AM3">
        <v>-0.30834018358059906</v>
      </c>
      <c r="AN3">
        <v>0.27865063499971043</v>
      </c>
      <c r="AO3">
        <v>0.91611905718249187</v>
      </c>
      <c r="AP3" s="16">
        <v>0.7</v>
      </c>
    </row>
    <row r="4" spans="1:42" x14ac:dyDescent="0.35">
      <c r="A4" s="2">
        <v>43525</v>
      </c>
      <c r="B4">
        <v>116100.78</v>
      </c>
      <c r="C4">
        <v>3572</v>
      </c>
      <c r="D4">
        <v>0</v>
      </c>
      <c r="E4">
        <v>0</v>
      </c>
      <c r="F4" s="1">
        <f t="shared" si="0"/>
        <v>119672.78</v>
      </c>
      <c r="G4">
        <v>947.92</v>
      </c>
      <c r="H4">
        <v>3735.31</v>
      </c>
      <c r="I4">
        <v>486.02</v>
      </c>
      <c r="J4">
        <v>3550.95</v>
      </c>
      <c r="K4">
        <v>25195.23</v>
      </c>
      <c r="L4">
        <v>10360.36</v>
      </c>
      <c r="M4">
        <v>1717.4</v>
      </c>
      <c r="N4">
        <v>3788.98</v>
      </c>
      <c r="O4">
        <v>159.32</v>
      </c>
      <c r="P4">
        <v>78908.08</v>
      </c>
      <c r="Q4">
        <v>1082.4000000000001</v>
      </c>
      <c r="R4">
        <v>144.5</v>
      </c>
      <c r="S4">
        <v>0</v>
      </c>
      <c r="T4" s="1">
        <f t="shared" si="1"/>
        <v>130076.47</v>
      </c>
      <c r="U4">
        <f t="shared" si="2"/>
        <v>-10403.690000000002</v>
      </c>
      <c r="V4">
        <f t="shared" si="3"/>
        <v>92317.459999999992</v>
      </c>
      <c r="W4">
        <v>168262</v>
      </c>
      <c r="X4" s="4">
        <f t="shared" si="4"/>
        <v>0.54865305297690503</v>
      </c>
      <c r="Y4">
        <v>0.47</v>
      </c>
      <c r="Z4">
        <v>0.18</v>
      </c>
      <c r="AA4">
        <v>0.2</v>
      </c>
      <c r="AB4" s="4">
        <f t="shared" si="5"/>
        <v>1.4713420982996925</v>
      </c>
      <c r="AC4">
        <v>1.43</v>
      </c>
      <c r="AD4">
        <v>0.65</v>
      </c>
      <c r="AE4">
        <v>0.64</v>
      </c>
      <c r="AF4" s="21">
        <f t="shared" si="6"/>
        <v>-8.693447248405195E-2</v>
      </c>
      <c r="AG4" s="21">
        <v>-0.45</v>
      </c>
      <c r="AH4" s="21">
        <v>0.02</v>
      </c>
      <c r="AI4" s="21">
        <v>0.27</v>
      </c>
      <c r="AJ4" s="21">
        <v>0.28999999999999998</v>
      </c>
      <c r="AK4" s="4">
        <f>Таблица1[[#This Row],[Печалба на месец]]/Таблица1[[#This Row],[Литри]]</f>
        <v>-6.1830300364907123E-2</v>
      </c>
      <c r="AL4">
        <v>-0.32456334832623485</v>
      </c>
      <c r="AM4">
        <v>-0.30834018358059906</v>
      </c>
      <c r="AN4">
        <v>0.27865063499971043</v>
      </c>
      <c r="AO4">
        <v>0.91611905718249187</v>
      </c>
      <c r="AP4" s="16">
        <v>0.69</v>
      </c>
    </row>
    <row r="5" spans="1:42" x14ac:dyDescent="0.35">
      <c r="A5" s="2">
        <v>43556</v>
      </c>
      <c r="B5">
        <v>121718.2</v>
      </c>
      <c r="C5">
        <v>0</v>
      </c>
      <c r="D5">
        <v>0</v>
      </c>
      <c r="E5">
        <v>87679.55</v>
      </c>
      <c r="F5" s="1">
        <f t="shared" si="0"/>
        <v>209397.75</v>
      </c>
      <c r="G5">
        <v>700.39</v>
      </c>
      <c r="H5">
        <v>3744.47</v>
      </c>
      <c r="I5">
        <v>30.4</v>
      </c>
      <c r="J5">
        <v>3550.95</v>
      </c>
      <c r="K5">
        <v>25195.23</v>
      </c>
      <c r="L5">
        <v>10391.799999999997</v>
      </c>
      <c r="M5">
        <v>1725.3899999999999</v>
      </c>
      <c r="N5">
        <v>3788.98</v>
      </c>
      <c r="O5">
        <v>2165.62</v>
      </c>
      <c r="P5">
        <v>52766.18</v>
      </c>
      <c r="Q5">
        <v>910.4</v>
      </c>
      <c r="R5">
        <v>0</v>
      </c>
      <c r="S5">
        <v>0</v>
      </c>
      <c r="T5" s="1">
        <f t="shared" si="1"/>
        <v>104969.81</v>
      </c>
      <c r="U5">
        <f t="shared" si="2"/>
        <v>104427.94</v>
      </c>
      <c r="V5">
        <f t="shared" si="3"/>
        <v>67626.989999999991</v>
      </c>
      <c r="W5">
        <v>180344</v>
      </c>
      <c r="X5" s="4">
        <f t="shared" si="4"/>
        <v>0.37498885463336729</v>
      </c>
      <c r="Y5">
        <v>0.47</v>
      </c>
      <c r="Z5">
        <v>0.18</v>
      </c>
      <c r="AA5">
        <v>0.2</v>
      </c>
      <c r="AB5" s="4">
        <f t="shared" si="5"/>
        <v>2.3067464804160545</v>
      </c>
      <c r="AC5">
        <v>1.43</v>
      </c>
      <c r="AD5">
        <v>0.65</v>
      </c>
      <c r="AE5">
        <v>0.64</v>
      </c>
      <c r="AF5" s="21">
        <f t="shared" si="6"/>
        <v>0.49870612267801351</v>
      </c>
      <c r="AG5" s="21">
        <v>-0.45</v>
      </c>
      <c r="AH5" s="21">
        <v>0.02</v>
      </c>
      <c r="AI5" s="21">
        <v>0.27</v>
      </c>
      <c r="AJ5" s="21">
        <v>0.28999999999999998</v>
      </c>
      <c r="AK5" s="4">
        <f>Таблица1[[#This Row],[Печалба на месец]]/Таблица1[[#This Row],[Литри]]</f>
        <v>0.57904859601650183</v>
      </c>
      <c r="AL5">
        <v>-0.32456334832623485</v>
      </c>
      <c r="AM5">
        <v>-0.30834018358059906</v>
      </c>
      <c r="AN5">
        <v>0.27865063499971043</v>
      </c>
      <c r="AO5">
        <v>0.91611905718249187</v>
      </c>
      <c r="AP5" s="16">
        <v>0.67492237058066806</v>
      </c>
    </row>
    <row r="6" spans="1:42" x14ac:dyDescent="0.35">
      <c r="A6" s="2">
        <v>43586</v>
      </c>
      <c r="B6">
        <v>128595.11</v>
      </c>
      <c r="C6">
        <v>14735</v>
      </c>
      <c r="D6">
        <v>0</v>
      </c>
      <c r="E6">
        <v>12244.630000000001</v>
      </c>
      <c r="F6" s="1">
        <f t="shared" si="0"/>
        <v>155574.74</v>
      </c>
      <c r="G6">
        <v>1158.0700000000002</v>
      </c>
      <c r="H6">
        <v>3546.18</v>
      </c>
      <c r="I6">
        <v>863.03</v>
      </c>
      <c r="J6">
        <v>3727.46</v>
      </c>
      <c r="K6">
        <v>25195.23</v>
      </c>
      <c r="L6">
        <v>10553.77</v>
      </c>
      <c r="M6">
        <v>1733.41</v>
      </c>
      <c r="N6">
        <v>3870.52</v>
      </c>
      <c r="O6">
        <v>2517.71</v>
      </c>
      <c r="P6">
        <v>55658.07</v>
      </c>
      <c r="Q6">
        <v>1158.4000000000001</v>
      </c>
      <c r="R6">
        <v>0</v>
      </c>
      <c r="S6">
        <v>0</v>
      </c>
      <c r="T6" s="1">
        <f t="shared" si="1"/>
        <v>109981.85</v>
      </c>
      <c r="U6">
        <f t="shared" si="2"/>
        <v>45592.889999999985</v>
      </c>
      <c r="V6">
        <f t="shared" si="3"/>
        <v>71636.409999999989</v>
      </c>
      <c r="W6">
        <v>191933</v>
      </c>
      <c r="X6" s="4">
        <f t="shared" si="4"/>
        <v>0.37323654608639467</v>
      </c>
      <c r="Y6">
        <v>0.47</v>
      </c>
      <c r="Z6">
        <v>0.18</v>
      </c>
      <c r="AA6">
        <v>0.2</v>
      </c>
      <c r="AB6" s="4">
        <f t="shared" si="5"/>
        <v>2.3104486016133867</v>
      </c>
      <c r="AC6">
        <v>1.43</v>
      </c>
      <c r="AD6">
        <v>0.65</v>
      </c>
      <c r="AE6">
        <v>0.64</v>
      </c>
      <c r="AF6" s="21">
        <f t="shared" si="6"/>
        <v>0.29306100720463996</v>
      </c>
      <c r="AG6" s="21">
        <v>-0.45</v>
      </c>
      <c r="AH6" s="21">
        <v>0.02</v>
      </c>
      <c r="AI6" s="21">
        <v>0.27</v>
      </c>
      <c r="AJ6" s="21">
        <v>0.28999999999999998</v>
      </c>
      <c r="AK6" s="4">
        <f>Таблица1[[#This Row],[Печалба на месец]]/Таблица1[[#This Row],[Литри]]</f>
        <v>0.23754586235821867</v>
      </c>
      <c r="AL6">
        <v>-0.32456334832623485</v>
      </c>
      <c r="AM6">
        <v>-0.30834018358059906</v>
      </c>
      <c r="AN6">
        <v>0.27865063499971043</v>
      </c>
      <c r="AO6">
        <v>0.91611905718249187</v>
      </c>
      <c r="AP6" s="16">
        <v>0.67</v>
      </c>
    </row>
    <row r="7" spans="1:42" x14ac:dyDescent="0.35">
      <c r="A7" s="2">
        <v>43617</v>
      </c>
      <c r="B7">
        <v>126427.66</v>
      </c>
      <c r="C7">
        <v>0</v>
      </c>
      <c r="D7">
        <v>0</v>
      </c>
      <c r="E7">
        <v>0</v>
      </c>
      <c r="F7" s="1">
        <f t="shared" si="0"/>
        <v>126427.66</v>
      </c>
      <c r="G7">
        <v>909.38</v>
      </c>
      <c r="H7">
        <v>3417.36</v>
      </c>
      <c r="I7">
        <v>309.67</v>
      </c>
      <c r="J7">
        <v>4236.05</v>
      </c>
      <c r="K7">
        <v>25195.23</v>
      </c>
      <c r="L7">
        <v>14829.17</v>
      </c>
      <c r="M7">
        <v>1745.18</v>
      </c>
      <c r="N7">
        <v>3778.22</v>
      </c>
      <c r="O7">
        <v>2479.67</v>
      </c>
      <c r="P7">
        <v>57326.180000000008</v>
      </c>
      <c r="Q7">
        <v>1590.4</v>
      </c>
      <c r="R7">
        <v>0</v>
      </c>
      <c r="S7">
        <v>0</v>
      </c>
      <c r="T7" s="1">
        <f t="shared" si="1"/>
        <v>115816.51000000001</v>
      </c>
      <c r="U7">
        <f t="shared" si="2"/>
        <v>10611.149999999994</v>
      </c>
      <c r="V7">
        <f t="shared" si="3"/>
        <v>73737.260000000009</v>
      </c>
      <c r="W7">
        <v>188698</v>
      </c>
      <c r="X7" s="4">
        <f t="shared" si="4"/>
        <v>0.39076863559762165</v>
      </c>
      <c r="Y7">
        <v>0.47</v>
      </c>
      <c r="Z7">
        <v>0.18</v>
      </c>
      <c r="AA7">
        <v>0.2</v>
      </c>
      <c r="AB7" s="4">
        <f t="shared" si="5"/>
        <v>2.2054087678613854</v>
      </c>
      <c r="AC7">
        <v>1.43</v>
      </c>
      <c r="AD7">
        <v>0.65</v>
      </c>
      <c r="AE7">
        <v>0.64</v>
      </c>
      <c r="AF7" s="21">
        <f t="shared" si="6"/>
        <v>8.3930605059051117E-2</v>
      </c>
      <c r="AG7" s="21">
        <v>-0.45</v>
      </c>
      <c r="AH7" s="21">
        <v>0.02</v>
      </c>
      <c r="AI7" s="21">
        <v>0.27</v>
      </c>
      <c r="AJ7" s="21">
        <v>0.28999999999999998</v>
      </c>
      <c r="AK7" s="4">
        <f>Таблица1[[#This Row],[Печалба на месец]]/Таблица1[[#This Row],[Литри]]</f>
        <v>5.6233505389564245E-2</v>
      </c>
      <c r="AL7">
        <v>-0.32456334832623485</v>
      </c>
      <c r="AM7">
        <v>-0.30834018358059906</v>
      </c>
      <c r="AN7">
        <v>0.27865063499971043</v>
      </c>
      <c r="AO7">
        <v>0.91611905718249187</v>
      </c>
      <c r="AP7" s="16">
        <v>0.67</v>
      </c>
    </row>
    <row r="8" spans="1:42" x14ac:dyDescent="0.35">
      <c r="A8" s="2">
        <v>43647</v>
      </c>
      <c r="B8">
        <v>142250.63</v>
      </c>
      <c r="C8">
        <v>0</v>
      </c>
      <c r="D8">
        <v>0</v>
      </c>
      <c r="E8">
        <v>5480</v>
      </c>
      <c r="F8" s="1">
        <f t="shared" si="0"/>
        <v>147730.63</v>
      </c>
      <c r="G8">
        <v>349.93</v>
      </c>
      <c r="H8">
        <v>4218.97</v>
      </c>
      <c r="I8">
        <v>793.11999999999989</v>
      </c>
      <c r="J8">
        <v>4737.6099999999997</v>
      </c>
      <c r="K8">
        <v>25195.23</v>
      </c>
      <c r="L8">
        <v>11225.07</v>
      </c>
      <c r="M8">
        <v>31090.460000000003</v>
      </c>
      <c r="N8">
        <v>3730.57</v>
      </c>
      <c r="O8">
        <v>1471.4099999999999</v>
      </c>
      <c r="P8">
        <v>59680.429999999993</v>
      </c>
      <c r="Q8">
        <v>970.6</v>
      </c>
      <c r="R8">
        <v>0</v>
      </c>
      <c r="S8">
        <v>1172.02</v>
      </c>
      <c r="T8" s="1">
        <f t="shared" si="1"/>
        <v>144635.41999999998</v>
      </c>
      <c r="U8">
        <f t="shared" si="2"/>
        <v>3095.210000000021</v>
      </c>
      <c r="V8">
        <f t="shared" si="3"/>
        <v>76331.540000000008</v>
      </c>
      <c r="W8">
        <v>200353</v>
      </c>
      <c r="X8" s="4">
        <f t="shared" si="4"/>
        <v>0.3809852610143098</v>
      </c>
      <c r="Y8">
        <v>0.47</v>
      </c>
      <c r="Z8">
        <v>0.18</v>
      </c>
      <c r="AA8">
        <v>0.2</v>
      </c>
      <c r="AB8" s="4">
        <f t="shared" si="5"/>
        <v>2.3835389590859184</v>
      </c>
      <c r="AC8">
        <v>1.43</v>
      </c>
      <c r="AD8">
        <v>0.65</v>
      </c>
      <c r="AE8">
        <v>0.64</v>
      </c>
      <c r="AF8" s="21">
        <f t="shared" si="6"/>
        <v>2.0951714617341174E-2</v>
      </c>
      <c r="AG8" s="21">
        <v>-0.45</v>
      </c>
      <c r="AH8" s="21">
        <v>0.02</v>
      </c>
      <c r="AI8" s="21">
        <v>0.27</v>
      </c>
      <c r="AJ8" s="21">
        <v>0.28999999999999998</v>
      </c>
      <c r="AK8" s="4">
        <f>Таблица1[[#This Row],[Печалба на месец]]/Таблица1[[#This Row],[Литри]]</f>
        <v>1.5448782898184809E-2</v>
      </c>
      <c r="AL8">
        <v>-0.32456334832623485</v>
      </c>
      <c r="AM8">
        <v>-0.30834018358059906</v>
      </c>
      <c r="AN8">
        <v>0.27865063499971043</v>
      </c>
      <c r="AO8">
        <v>0.91611905718249187</v>
      </c>
      <c r="AP8" s="16">
        <v>0.71000000000000008</v>
      </c>
    </row>
    <row r="9" spans="1:42" x14ac:dyDescent="0.35">
      <c r="A9" s="2">
        <v>43678</v>
      </c>
      <c r="B9">
        <v>153521.88</v>
      </c>
      <c r="C9">
        <v>0</v>
      </c>
      <c r="D9">
        <v>0</v>
      </c>
      <c r="E9">
        <v>0</v>
      </c>
      <c r="F9" s="1">
        <f t="shared" si="0"/>
        <v>153521.88</v>
      </c>
      <c r="G9">
        <v>774.18</v>
      </c>
      <c r="H9">
        <v>4514.63</v>
      </c>
      <c r="I9">
        <v>1436.93</v>
      </c>
      <c r="J9">
        <v>3970.4300000000003</v>
      </c>
      <c r="K9">
        <v>25195.23</v>
      </c>
      <c r="L9">
        <v>5405.44</v>
      </c>
      <c r="M9">
        <v>4552.0300000000007</v>
      </c>
      <c r="N9">
        <v>3698.54</v>
      </c>
      <c r="O9">
        <v>1642.2199999999998</v>
      </c>
      <c r="P9">
        <v>56634.79</v>
      </c>
      <c r="Q9">
        <v>797.6</v>
      </c>
      <c r="R9">
        <v>0</v>
      </c>
      <c r="S9">
        <v>158</v>
      </c>
      <c r="T9" s="1">
        <f t="shared" si="1"/>
        <v>108780.02000000002</v>
      </c>
      <c r="U9">
        <f t="shared" si="2"/>
        <v>44741.859999999986</v>
      </c>
      <c r="V9">
        <f t="shared" si="3"/>
        <v>72190.390000000014</v>
      </c>
      <c r="W9">
        <v>216228</v>
      </c>
      <c r="X9" s="4">
        <f t="shared" si="4"/>
        <v>0.33386235825147537</v>
      </c>
      <c r="Y9">
        <v>0.47</v>
      </c>
      <c r="Z9">
        <v>0.18</v>
      </c>
      <c r="AA9">
        <v>0.2</v>
      </c>
      <c r="AB9" s="4">
        <f t="shared" si="5"/>
        <v>2.7107345149509694</v>
      </c>
      <c r="AC9">
        <v>1.43</v>
      </c>
      <c r="AD9">
        <v>0.65</v>
      </c>
      <c r="AE9">
        <v>0.64</v>
      </c>
      <c r="AF9" s="21">
        <f t="shared" si="6"/>
        <v>0.29143637375988352</v>
      </c>
      <c r="AG9" s="21">
        <v>-0.45</v>
      </c>
      <c r="AH9" s="21">
        <v>0.02</v>
      </c>
      <c r="AI9" s="21">
        <v>0.27</v>
      </c>
      <c r="AJ9" s="21">
        <v>0.28999999999999998</v>
      </c>
      <c r="AK9" s="4">
        <f>Таблица1[[#This Row],[Печалба на месец]]/Таблица1[[#This Row],[Литри]]</f>
        <v>0.20691982536951731</v>
      </c>
      <c r="AL9">
        <v>-0.32456334832623485</v>
      </c>
      <c r="AM9">
        <v>-0.30834018358059906</v>
      </c>
      <c r="AN9">
        <v>0.27865063499971043</v>
      </c>
      <c r="AO9">
        <v>0.91611905718249187</v>
      </c>
      <c r="AP9" s="16">
        <v>0.71000000000000008</v>
      </c>
    </row>
    <row r="10" spans="1:42" x14ac:dyDescent="0.35">
      <c r="A10" s="2">
        <v>43709</v>
      </c>
      <c r="B10">
        <v>143260.25</v>
      </c>
      <c r="C10">
        <v>0</v>
      </c>
      <c r="D10">
        <v>0</v>
      </c>
      <c r="E10">
        <v>0</v>
      </c>
      <c r="F10" s="1">
        <f t="shared" si="0"/>
        <v>143260.25</v>
      </c>
      <c r="G10">
        <v>1174.77</v>
      </c>
      <c r="H10">
        <v>4235.33</v>
      </c>
      <c r="I10">
        <v>4882.1299999999992</v>
      </c>
      <c r="J10">
        <v>2821.26</v>
      </c>
      <c r="K10">
        <v>25195.23</v>
      </c>
      <c r="L10">
        <v>11455.25</v>
      </c>
      <c r="M10">
        <v>9293.86</v>
      </c>
      <c r="N10">
        <v>3875.1</v>
      </c>
      <c r="O10">
        <v>2150.3200000000002</v>
      </c>
      <c r="P10">
        <v>69044.42</v>
      </c>
      <c r="Q10">
        <v>790</v>
      </c>
      <c r="R10">
        <v>225</v>
      </c>
      <c r="S10">
        <v>0</v>
      </c>
      <c r="T10" s="1">
        <f t="shared" si="1"/>
        <v>135142.66999999998</v>
      </c>
      <c r="U10">
        <f t="shared" si="2"/>
        <v>8117.5800000000163</v>
      </c>
      <c r="V10">
        <f t="shared" si="3"/>
        <v>84316.2</v>
      </c>
      <c r="W10">
        <v>201775</v>
      </c>
      <c r="X10" s="4">
        <f t="shared" si="4"/>
        <v>0.41787238260438608</v>
      </c>
      <c r="Y10">
        <v>0.47</v>
      </c>
      <c r="Z10">
        <v>0.18</v>
      </c>
      <c r="AA10">
        <v>0.2</v>
      </c>
      <c r="AB10" s="4">
        <f t="shared" si="5"/>
        <v>2.0748997529416568</v>
      </c>
      <c r="AC10">
        <v>1.43</v>
      </c>
      <c r="AD10">
        <v>0.65</v>
      </c>
      <c r="AE10">
        <v>0.64</v>
      </c>
      <c r="AF10" s="21">
        <f t="shared" si="6"/>
        <v>5.6663170698082799E-2</v>
      </c>
      <c r="AG10" s="21">
        <v>-0.45</v>
      </c>
      <c r="AH10" s="21">
        <v>0.02</v>
      </c>
      <c r="AI10" s="21">
        <v>0.27</v>
      </c>
      <c r="AJ10" s="21">
        <v>0.28999999999999998</v>
      </c>
      <c r="AK10" s="4">
        <f>Таблица1[[#This Row],[Печалба на месец]]/Таблица1[[#This Row],[Литри]]</f>
        <v>4.0230851195638788E-2</v>
      </c>
      <c r="AL10">
        <v>-0.32456334832623485</v>
      </c>
      <c r="AM10">
        <v>-0.30834018358059906</v>
      </c>
      <c r="AN10">
        <v>0.27865063499971043</v>
      </c>
      <c r="AO10">
        <v>0.91611905718249187</v>
      </c>
      <c r="AP10" s="16">
        <v>0.71</v>
      </c>
    </row>
    <row r="11" spans="1:42" x14ac:dyDescent="0.35">
      <c r="A11" s="2">
        <v>43739</v>
      </c>
      <c r="B11">
        <v>133142.28</v>
      </c>
      <c r="C11">
        <v>5751.5</v>
      </c>
      <c r="D11">
        <v>0</v>
      </c>
      <c r="E11">
        <v>4236.17</v>
      </c>
      <c r="F11" s="1">
        <f t="shared" si="0"/>
        <v>143129.95000000001</v>
      </c>
      <c r="G11">
        <v>1630.9699999999998</v>
      </c>
      <c r="H11">
        <v>3741.69</v>
      </c>
      <c r="I11">
        <v>30.4</v>
      </c>
      <c r="J11">
        <v>2821.26</v>
      </c>
      <c r="K11">
        <v>25195.23</v>
      </c>
      <c r="L11">
        <v>7615.28</v>
      </c>
      <c r="M11">
        <v>9301.8100000000013</v>
      </c>
      <c r="N11">
        <v>3980.93</v>
      </c>
      <c r="O11">
        <v>6177.88</v>
      </c>
      <c r="P11">
        <v>76548.08</v>
      </c>
      <c r="Q11">
        <v>1224</v>
      </c>
      <c r="R11">
        <v>0</v>
      </c>
      <c r="S11">
        <v>0</v>
      </c>
      <c r="T11" s="1">
        <f t="shared" si="1"/>
        <v>138267.53</v>
      </c>
      <c r="U11">
        <f t="shared" si="2"/>
        <v>4862.4200000000128</v>
      </c>
      <c r="V11">
        <f t="shared" si="3"/>
        <v>96124.81</v>
      </c>
      <c r="W11">
        <v>179922</v>
      </c>
      <c r="X11" s="4">
        <f t="shared" si="4"/>
        <v>0.53425823412367579</v>
      </c>
      <c r="Y11">
        <v>0.47</v>
      </c>
      <c r="Z11">
        <v>0.18</v>
      </c>
      <c r="AA11">
        <v>0.2</v>
      </c>
      <c r="AB11" s="4">
        <f t="shared" si="5"/>
        <v>1.7393287983186514</v>
      </c>
      <c r="AC11">
        <v>1.43</v>
      </c>
      <c r="AD11">
        <v>0.65</v>
      </c>
      <c r="AE11">
        <v>0.64</v>
      </c>
      <c r="AF11" s="21">
        <f t="shared" si="6"/>
        <v>3.3972065245603818E-2</v>
      </c>
      <c r="AG11" s="21">
        <v>-0.45</v>
      </c>
      <c r="AH11" s="21">
        <v>0.02</v>
      </c>
      <c r="AI11" s="21">
        <v>0.27</v>
      </c>
      <c r="AJ11" s="21">
        <v>0.28999999999999998</v>
      </c>
      <c r="AK11" s="4">
        <f>Таблица1[[#This Row],[Печалба на месец]]/Таблица1[[#This Row],[Литри]]</f>
        <v>2.7025155345094056E-2</v>
      </c>
      <c r="AL11">
        <v>-0.32456334832623485</v>
      </c>
      <c r="AM11">
        <v>-0.30834018358059906</v>
      </c>
      <c r="AN11">
        <v>0.27865063499971043</v>
      </c>
      <c r="AO11">
        <v>0.91611905718249187</v>
      </c>
      <c r="AP11" s="16">
        <v>0.74</v>
      </c>
    </row>
    <row r="12" spans="1:42" x14ac:dyDescent="0.35">
      <c r="A12" s="2">
        <v>43770</v>
      </c>
      <c r="B12">
        <v>156231.70000000001</v>
      </c>
      <c r="C12">
        <v>800</v>
      </c>
      <c r="D12">
        <v>0</v>
      </c>
      <c r="E12">
        <v>16356.98</v>
      </c>
      <c r="F12" s="1">
        <f t="shared" si="0"/>
        <v>173388.68000000002</v>
      </c>
      <c r="G12">
        <v>3406.52</v>
      </c>
      <c r="H12">
        <v>4609.79</v>
      </c>
      <c r="I12">
        <v>0</v>
      </c>
      <c r="J12">
        <v>3028.93</v>
      </c>
      <c r="K12">
        <v>45802.09</v>
      </c>
      <c r="L12">
        <v>351.54999999999995</v>
      </c>
      <c r="M12">
        <v>9309.39</v>
      </c>
      <c r="N12">
        <v>3924.53</v>
      </c>
      <c r="O12">
        <v>4378.43</v>
      </c>
      <c r="P12">
        <v>74599.34</v>
      </c>
      <c r="Q12">
        <v>1504</v>
      </c>
      <c r="R12">
        <v>0</v>
      </c>
      <c r="S12">
        <v>1309.43</v>
      </c>
      <c r="T12" s="1">
        <f t="shared" si="1"/>
        <v>152223.99999999997</v>
      </c>
      <c r="U12">
        <f t="shared" si="2"/>
        <v>21164.680000000051</v>
      </c>
      <c r="V12">
        <f t="shared" si="3"/>
        <v>96760.969999999987</v>
      </c>
      <c r="W12">
        <v>207245</v>
      </c>
      <c r="X12" s="4">
        <f t="shared" si="4"/>
        <v>0.46689169823156162</v>
      </c>
      <c r="Y12">
        <v>0.47</v>
      </c>
      <c r="Z12">
        <v>0.18</v>
      </c>
      <c r="AA12">
        <v>0.2</v>
      </c>
      <c r="AB12" s="4">
        <f t="shared" si="5"/>
        <v>2.0942772415948991</v>
      </c>
      <c r="AC12">
        <v>1.43</v>
      </c>
      <c r="AD12">
        <v>0.65</v>
      </c>
      <c r="AE12">
        <v>0.64</v>
      </c>
      <c r="AF12" s="21">
        <f t="shared" si="6"/>
        <v>0.12206494680044884</v>
      </c>
      <c r="AG12" s="21">
        <v>-0.45</v>
      </c>
      <c r="AH12" s="21">
        <v>0.02</v>
      </c>
      <c r="AI12" s="21">
        <v>0.27</v>
      </c>
      <c r="AJ12" s="21">
        <v>0.28999999999999998</v>
      </c>
      <c r="AK12" s="4">
        <f>Таблица1[[#This Row],[Печалба на месец]]/Таблица1[[#This Row],[Литри]]</f>
        <v>0.10212395956476658</v>
      </c>
      <c r="AL12">
        <v>-0.32456334832623485</v>
      </c>
      <c r="AM12">
        <v>-0.30834018358059906</v>
      </c>
      <c r="AN12">
        <v>0.27865063499971043</v>
      </c>
      <c r="AO12">
        <v>0.91611905718249187</v>
      </c>
      <c r="AP12" s="16">
        <v>0.75385027383049052</v>
      </c>
    </row>
    <row r="13" spans="1:42" x14ac:dyDescent="0.35">
      <c r="A13" s="2">
        <v>43800</v>
      </c>
      <c r="B13">
        <v>172834.64</v>
      </c>
      <c r="C13">
        <v>0</v>
      </c>
      <c r="D13">
        <v>0</v>
      </c>
      <c r="E13">
        <v>121467.70999999999</v>
      </c>
      <c r="F13" s="1">
        <f t="shared" si="0"/>
        <v>294302.34999999998</v>
      </c>
      <c r="G13">
        <v>1041.48</v>
      </c>
      <c r="H13">
        <v>6133.57</v>
      </c>
      <c r="I13">
        <v>2742.25</v>
      </c>
      <c r="J13">
        <v>6876.68</v>
      </c>
      <c r="K13">
        <v>45802.09</v>
      </c>
      <c r="L13">
        <v>14053.019999999999</v>
      </c>
      <c r="M13">
        <v>1792.75</v>
      </c>
      <c r="N13">
        <v>3928</v>
      </c>
      <c r="O13">
        <v>2270.25</v>
      </c>
      <c r="P13">
        <v>68403.079999999987</v>
      </c>
      <c r="Q13">
        <v>1252</v>
      </c>
      <c r="R13">
        <v>44</v>
      </c>
      <c r="S13">
        <v>218.49</v>
      </c>
      <c r="T13" s="1">
        <f t="shared" si="1"/>
        <v>154557.65999999997</v>
      </c>
      <c r="U13">
        <f t="shared" si="2"/>
        <v>139744.69</v>
      </c>
      <c r="V13">
        <f t="shared" si="3"/>
        <v>90167.549999999988</v>
      </c>
      <c r="W13">
        <v>227414</v>
      </c>
      <c r="X13" s="4">
        <f t="shared" si="4"/>
        <v>0.3964907613427493</v>
      </c>
      <c r="Y13">
        <v>0.47</v>
      </c>
      <c r="Z13">
        <v>0.18</v>
      </c>
      <c r="AA13">
        <v>0.2</v>
      </c>
      <c r="AB13" s="4">
        <f t="shared" si="5"/>
        <v>2.5267084464617682</v>
      </c>
      <c r="AC13">
        <v>1.43</v>
      </c>
      <c r="AD13">
        <v>0.65</v>
      </c>
      <c r="AE13">
        <v>0.64</v>
      </c>
      <c r="AF13" s="21">
        <f t="shared" si="6"/>
        <v>0.47483375515010334</v>
      </c>
      <c r="AG13" s="21">
        <v>-0.45</v>
      </c>
      <c r="AH13" s="21">
        <v>0.02</v>
      </c>
      <c r="AI13" s="21">
        <v>0.27</v>
      </c>
      <c r="AJ13" s="21">
        <v>0.28999999999999998</v>
      </c>
      <c r="AK13" s="4">
        <f>Таблица1[[#This Row],[Печалба на месец]]/Таблица1[[#This Row],[Литри]]</f>
        <v>0.6144946661155426</v>
      </c>
      <c r="AL13">
        <v>-0.32456334832623485</v>
      </c>
      <c r="AM13">
        <v>-0.30834018358059906</v>
      </c>
      <c r="AN13">
        <v>0.27865063499971043</v>
      </c>
      <c r="AO13">
        <v>0.91611905718249187</v>
      </c>
      <c r="AP13" s="16">
        <v>0.76</v>
      </c>
    </row>
    <row r="14" spans="1:42" x14ac:dyDescent="0.35">
      <c r="A14" s="2">
        <v>43831</v>
      </c>
      <c r="B14">
        <v>178710</v>
      </c>
      <c r="C14">
        <v>9388</v>
      </c>
      <c r="D14">
        <v>0</v>
      </c>
      <c r="E14">
        <v>117079.12999999999</v>
      </c>
      <c r="F14" s="1">
        <f t="shared" si="0"/>
        <v>305177.13</v>
      </c>
      <c r="G14">
        <v>3617.92</v>
      </c>
      <c r="H14">
        <v>6764.92</v>
      </c>
      <c r="I14">
        <v>0</v>
      </c>
      <c r="J14">
        <v>7791.1100000000006</v>
      </c>
      <c r="K14">
        <v>45802.09</v>
      </c>
      <c r="L14">
        <v>10932.369999999999</v>
      </c>
      <c r="M14">
        <v>6534.6900000000005</v>
      </c>
      <c r="N14">
        <v>5186.34</v>
      </c>
      <c r="O14">
        <v>4801.4600000000009</v>
      </c>
      <c r="P14">
        <v>101707.67</v>
      </c>
      <c r="Q14">
        <v>1876</v>
      </c>
      <c r="R14">
        <v>0</v>
      </c>
      <c r="S14">
        <v>1058.97</v>
      </c>
      <c r="T14" s="1">
        <f t="shared" si="1"/>
        <v>196073.54</v>
      </c>
      <c r="U14">
        <f t="shared" si="2"/>
        <v>109103.59</v>
      </c>
      <c r="V14">
        <f t="shared" si="3"/>
        <v>132804.38999999998</v>
      </c>
      <c r="W14">
        <v>235146</v>
      </c>
      <c r="X14" s="4">
        <f t="shared" si="4"/>
        <v>0.56477418284810277</v>
      </c>
      <c r="Y14">
        <v>0.47</v>
      </c>
      <c r="Z14">
        <v>0.18</v>
      </c>
      <c r="AA14">
        <v>0.2</v>
      </c>
      <c r="AB14" s="4">
        <f t="shared" si="5"/>
        <v>1.7570946222639847</v>
      </c>
      <c r="AC14">
        <v>1.43</v>
      </c>
      <c r="AD14">
        <v>0.65</v>
      </c>
      <c r="AE14">
        <v>0.64</v>
      </c>
      <c r="AF14" s="21">
        <f t="shared" si="6"/>
        <v>0.35750906367066232</v>
      </c>
      <c r="AG14" s="21">
        <v>-0.45</v>
      </c>
      <c r="AH14" s="21">
        <v>0.02</v>
      </c>
      <c r="AI14" s="21">
        <v>0.27</v>
      </c>
      <c r="AJ14" s="21">
        <v>0.28999999999999998</v>
      </c>
      <c r="AK14" s="4">
        <f>Таблица1[[#This Row],[Печалба на месец]]/Таблица1[[#This Row],[Литри]]</f>
        <v>0.46398233437949188</v>
      </c>
      <c r="AL14">
        <v>-0.32456334832623485</v>
      </c>
      <c r="AM14">
        <v>-0.30834018358059906</v>
      </c>
      <c r="AN14">
        <v>0.27865063499971043</v>
      </c>
      <c r="AO14">
        <v>0.91611905718249187</v>
      </c>
      <c r="AP14" s="16">
        <v>0.75999591743002215</v>
      </c>
    </row>
    <row r="15" spans="1:42" x14ac:dyDescent="0.35">
      <c r="A15" s="2">
        <v>43862</v>
      </c>
      <c r="B15">
        <v>173751.2</v>
      </c>
      <c r="C15">
        <v>1564</v>
      </c>
      <c r="D15">
        <v>0</v>
      </c>
      <c r="E15">
        <v>0</v>
      </c>
      <c r="F15" s="1">
        <f t="shared" si="0"/>
        <v>175315.20000000001</v>
      </c>
      <c r="G15">
        <v>2022.1799999999998</v>
      </c>
      <c r="H15">
        <v>5723.89</v>
      </c>
      <c r="I15">
        <v>208.5</v>
      </c>
      <c r="J15">
        <v>8333.01</v>
      </c>
      <c r="K15">
        <v>34297.08</v>
      </c>
      <c r="L15">
        <v>882.27</v>
      </c>
      <c r="M15">
        <v>20224.54</v>
      </c>
      <c r="N15">
        <v>10251.34</v>
      </c>
      <c r="O15">
        <v>5414.31</v>
      </c>
      <c r="P15">
        <v>97384.71</v>
      </c>
      <c r="Q15">
        <v>1560</v>
      </c>
      <c r="R15">
        <v>0</v>
      </c>
      <c r="S15">
        <v>0</v>
      </c>
      <c r="T15" s="1">
        <f t="shared" si="1"/>
        <v>186301.83000000002</v>
      </c>
      <c r="U15">
        <f t="shared" si="2"/>
        <v>-10986.630000000005</v>
      </c>
      <c r="V15">
        <f t="shared" si="3"/>
        <v>130689.44</v>
      </c>
      <c r="W15">
        <v>228620</v>
      </c>
      <c r="X15" s="4">
        <f t="shared" si="4"/>
        <v>0.57164482547458662</v>
      </c>
      <c r="Y15">
        <v>0.47</v>
      </c>
      <c r="Z15">
        <v>0.18</v>
      </c>
      <c r="AA15">
        <v>0.2</v>
      </c>
      <c r="AB15" s="4">
        <f t="shared" si="5"/>
        <v>1.7841733060559506</v>
      </c>
      <c r="AC15">
        <v>1.43</v>
      </c>
      <c r="AD15">
        <v>0.65</v>
      </c>
      <c r="AE15">
        <v>0.64</v>
      </c>
      <c r="AF15" s="21">
        <f t="shared" si="6"/>
        <v>-6.2667869072390775E-2</v>
      </c>
      <c r="AG15" s="21">
        <v>-0.45</v>
      </c>
      <c r="AH15" s="21">
        <v>0.02</v>
      </c>
      <c r="AI15" s="21">
        <v>0.27</v>
      </c>
      <c r="AJ15" s="21">
        <v>0.28999999999999998</v>
      </c>
      <c r="AK15" s="4">
        <f>Таблица1[[#This Row],[Печалба на месец]]/Таблица1[[#This Row],[Литри]]</f>
        <v>-4.8056294287463934E-2</v>
      </c>
      <c r="AL15">
        <v>-0.32456334832623485</v>
      </c>
      <c r="AM15">
        <v>-0.30834018358059906</v>
      </c>
      <c r="AN15">
        <v>0.27865063499971043</v>
      </c>
      <c r="AO15">
        <v>0.91611905718249187</v>
      </c>
      <c r="AP15" s="16">
        <v>0.76</v>
      </c>
    </row>
    <row r="16" spans="1:42" x14ac:dyDescent="0.35">
      <c r="A16" s="2">
        <v>43891</v>
      </c>
      <c r="B16">
        <v>199994</v>
      </c>
      <c r="C16">
        <v>7770</v>
      </c>
      <c r="D16">
        <v>0</v>
      </c>
      <c r="E16">
        <v>4057.62</v>
      </c>
      <c r="F16" s="1">
        <f t="shared" si="0"/>
        <v>211821.62</v>
      </c>
      <c r="G16">
        <v>2711.35</v>
      </c>
      <c r="H16">
        <v>5576.76</v>
      </c>
      <c r="I16">
        <v>419.15000000000003</v>
      </c>
      <c r="J16">
        <v>9246.4499999999989</v>
      </c>
      <c r="K16">
        <v>11505</v>
      </c>
      <c r="L16">
        <v>6283.4</v>
      </c>
      <c r="M16">
        <v>1817</v>
      </c>
      <c r="N16">
        <v>4740.66</v>
      </c>
      <c r="O16">
        <v>6423.5599999999995</v>
      </c>
      <c r="P16">
        <v>105190.55000000002</v>
      </c>
      <c r="Q16">
        <v>1936</v>
      </c>
      <c r="R16">
        <v>74</v>
      </c>
      <c r="S16">
        <v>290</v>
      </c>
      <c r="T16" s="1">
        <f t="shared" si="1"/>
        <v>156213.88</v>
      </c>
      <c r="U16">
        <f t="shared" si="2"/>
        <v>55607.739999999991</v>
      </c>
      <c r="V16">
        <f t="shared" si="3"/>
        <v>136189.33000000002</v>
      </c>
      <c r="W16">
        <v>263150</v>
      </c>
      <c r="X16" s="4">
        <f t="shared" si="4"/>
        <v>0.51753498004940157</v>
      </c>
      <c r="Y16">
        <v>0.47</v>
      </c>
      <c r="Z16">
        <v>0.18</v>
      </c>
      <c r="AA16">
        <v>0.2</v>
      </c>
      <c r="AB16" s="4">
        <f t="shared" si="5"/>
        <v>1.9012544377798193</v>
      </c>
      <c r="AC16">
        <v>1.43</v>
      </c>
      <c r="AD16">
        <v>0.65</v>
      </c>
      <c r="AE16">
        <v>0.64</v>
      </c>
      <c r="AF16" s="21">
        <f t="shared" si="6"/>
        <v>0.26252154997209443</v>
      </c>
      <c r="AG16" s="21">
        <v>-0.45</v>
      </c>
      <c r="AH16" s="21">
        <v>0.02</v>
      </c>
      <c r="AI16" s="21">
        <v>0.27</v>
      </c>
      <c r="AJ16" s="21">
        <v>0.28999999999999998</v>
      </c>
      <c r="AK16" s="4">
        <f>Таблица1[[#This Row],[Печалба на месец]]/Таблица1[[#This Row],[Литри]]</f>
        <v>0.21131575147254414</v>
      </c>
      <c r="AL16">
        <v>-0.32456334832623485</v>
      </c>
      <c r="AM16">
        <v>-0.30834018358059906</v>
      </c>
      <c r="AN16">
        <v>0.27865063499971043</v>
      </c>
      <c r="AO16">
        <v>0.91611905718249187</v>
      </c>
      <c r="AP16" s="16">
        <v>0.76</v>
      </c>
    </row>
    <row r="17" spans="1:42" x14ac:dyDescent="0.35">
      <c r="A17" s="2">
        <v>43922</v>
      </c>
      <c r="B17">
        <v>191940.5</v>
      </c>
      <c r="C17">
        <v>0</v>
      </c>
      <c r="D17">
        <v>0</v>
      </c>
      <c r="E17">
        <v>77507.38</v>
      </c>
      <c r="F17" s="1">
        <f t="shared" si="0"/>
        <v>269447.88</v>
      </c>
      <c r="G17">
        <v>8591.07</v>
      </c>
      <c r="H17">
        <v>5203.72</v>
      </c>
      <c r="I17">
        <v>3376.78</v>
      </c>
      <c r="J17">
        <v>8914.81</v>
      </c>
      <c r="K17">
        <v>45802.17</v>
      </c>
      <c r="L17">
        <v>11033.79</v>
      </c>
      <c r="M17">
        <v>1825.15</v>
      </c>
      <c r="N17">
        <v>6940.99</v>
      </c>
      <c r="O17">
        <v>4470.6299999999992</v>
      </c>
      <c r="P17">
        <v>102629.69</v>
      </c>
      <c r="Q17">
        <v>2410</v>
      </c>
      <c r="R17">
        <v>337.5</v>
      </c>
      <c r="S17">
        <v>0</v>
      </c>
      <c r="T17" s="1">
        <f t="shared" si="1"/>
        <v>201536.3</v>
      </c>
      <c r="U17">
        <f t="shared" si="2"/>
        <v>67911.580000000016</v>
      </c>
      <c r="V17">
        <f t="shared" si="3"/>
        <v>139498.41</v>
      </c>
      <c r="W17">
        <v>262934</v>
      </c>
      <c r="X17" s="4">
        <f t="shared" si="4"/>
        <v>0.53054534598036007</v>
      </c>
      <c r="Y17">
        <v>0.47</v>
      </c>
      <c r="Z17">
        <v>0.18</v>
      </c>
      <c r="AA17">
        <v>0.2</v>
      </c>
      <c r="AB17" s="4">
        <f t="shared" si="5"/>
        <v>1.8702239088903025</v>
      </c>
      <c r="AC17">
        <v>1.43</v>
      </c>
      <c r="AD17">
        <v>0.65</v>
      </c>
      <c r="AE17">
        <v>0.64</v>
      </c>
      <c r="AF17" s="21">
        <f t="shared" si="6"/>
        <v>0.25203976368268333</v>
      </c>
      <c r="AG17" s="21">
        <v>-0.45</v>
      </c>
      <c r="AH17" s="21">
        <v>0.02</v>
      </c>
      <c r="AI17" s="21">
        <v>0.27</v>
      </c>
      <c r="AJ17" s="21">
        <v>0.28999999999999998</v>
      </c>
      <c r="AK17" s="4">
        <f>Таблица1[[#This Row],[Печалба на месец]]/Таблица1[[#This Row],[Литри]]</f>
        <v>0.25828375181604513</v>
      </c>
      <c r="AL17">
        <v>-0.32456334832623485</v>
      </c>
      <c r="AM17">
        <v>-0.30834018358059906</v>
      </c>
      <c r="AN17">
        <v>0.27865063499971043</v>
      </c>
      <c r="AO17">
        <v>0.91611905718249187</v>
      </c>
      <c r="AP17" s="16">
        <v>0.72999497972875327</v>
      </c>
    </row>
    <row r="18" spans="1:42" x14ac:dyDescent="0.35">
      <c r="A18" s="2">
        <v>43952</v>
      </c>
      <c r="B18">
        <v>195494.1</v>
      </c>
      <c r="C18">
        <v>0</v>
      </c>
      <c r="D18">
        <v>0</v>
      </c>
      <c r="E18">
        <v>0</v>
      </c>
      <c r="F18" s="1">
        <f t="shared" si="0"/>
        <v>195494.1</v>
      </c>
      <c r="G18">
        <v>1445.7099999999998</v>
      </c>
      <c r="H18">
        <v>4960.53</v>
      </c>
      <c r="I18">
        <v>986.64999999999986</v>
      </c>
      <c r="J18">
        <v>8828.92</v>
      </c>
      <c r="K18">
        <v>22463.23</v>
      </c>
      <c r="L18">
        <v>989.05</v>
      </c>
      <c r="M18">
        <v>1833.3500000000001</v>
      </c>
      <c r="N18">
        <v>3943.42</v>
      </c>
      <c r="O18">
        <v>4368.45</v>
      </c>
      <c r="P18">
        <v>112568.54999999999</v>
      </c>
      <c r="Q18">
        <v>1210.52</v>
      </c>
      <c r="R18">
        <v>88.8</v>
      </c>
      <c r="S18">
        <v>0</v>
      </c>
      <c r="T18" s="1">
        <f t="shared" si="1"/>
        <v>163687.17999999996</v>
      </c>
      <c r="U18">
        <f t="shared" si="2"/>
        <v>31806.920000000042</v>
      </c>
      <c r="V18">
        <f t="shared" si="3"/>
        <v>137414.89999999997</v>
      </c>
      <c r="W18">
        <v>277467</v>
      </c>
      <c r="X18" s="4">
        <f t="shared" si="4"/>
        <v>0.49524772315266308</v>
      </c>
      <c r="Y18">
        <v>0.47</v>
      </c>
      <c r="Z18">
        <v>0.18</v>
      </c>
      <c r="AA18">
        <v>0.2</v>
      </c>
      <c r="AB18" s="4">
        <f t="shared" si="5"/>
        <v>1.7366671241656753</v>
      </c>
      <c r="AC18">
        <v>1.43</v>
      </c>
      <c r="AD18">
        <v>0.65</v>
      </c>
      <c r="AE18">
        <v>0.64</v>
      </c>
      <c r="AF18" s="21">
        <f t="shared" si="6"/>
        <v>0.16270015309924976</v>
      </c>
      <c r="AG18" s="21">
        <v>-0.45</v>
      </c>
      <c r="AH18" s="21">
        <v>0.02</v>
      </c>
      <c r="AI18" s="21">
        <v>0.27</v>
      </c>
      <c r="AJ18" s="21">
        <v>0.28999999999999998</v>
      </c>
      <c r="AK18" s="4">
        <f>Таблица1[[#This Row],[Печалба на месец]]/Таблица1[[#This Row],[Литри]]</f>
        <v>0.11463316358341728</v>
      </c>
      <c r="AL18">
        <v>-0.32456334832623485</v>
      </c>
      <c r="AM18">
        <v>-0.30834018358059906</v>
      </c>
      <c r="AN18">
        <v>0.27865063499971043</v>
      </c>
      <c r="AO18">
        <v>0.91611905718249187</v>
      </c>
      <c r="AP18" s="16">
        <v>0.70456702959270834</v>
      </c>
    </row>
    <row r="19" spans="1:42" x14ac:dyDescent="0.35">
      <c r="A19" s="2">
        <v>43983</v>
      </c>
      <c r="B19">
        <v>182240.64000000001</v>
      </c>
      <c r="C19">
        <v>2759.5</v>
      </c>
      <c r="D19">
        <v>1956</v>
      </c>
      <c r="E19">
        <v>27349.89</v>
      </c>
      <c r="F19" s="1">
        <f t="shared" si="0"/>
        <v>214306.03000000003</v>
      </c>
      <c r="G19">
        <v>4325.13</v>
      </c>
      <c r="H19">
        <v>4776.49</v>
      </c>
      <c r="I19">
        <v>205.87</v>
      </c>
      <c r="J19">
        <v>8833.2999999999993</v>
      </c>
      <c r="K19">
        <v>22463.22</v>
      </c>
      <c r="L19">
        <v>5160.41</v>
      </c>
      <c r="M19">
        <v>1841.1699999999998</v>
      </c>
      <c r="N19">
        <v>3554.24</v>
      </c>
      <c r="O19">
        <v>4691.4400000000005</v>
      </c>
      <c r="P19">
        <v>110277.73</v>
      </c>
      <c r="Q19">
        <v>1132.48</v>
      </c>
      <c r="R19">
        <v>0</v>
      </c>
      <c r="S19">
        <v>746.17000000000007</v>
      </c>
      <c r="T19" s="1">
        <f t="shared" si="1"/>
        <v>168007.65000000002</v>
      </c>
      <c r="U19">
        <f t="shared" si="2"/>
        <v>46298.380000000005</v>
      </c>
      <c r="V19">
        <f t="shared" si="3"/>
        <v>138336.98000000001</v>
      </c>
      <c r="W19">
        <v>253112</v>
      </c>
      <c r="X19" s="4">
        <f t="shared" si="4"/>
        <v>0.54654453364518474</v>
      </c>
      <c r="Y19">
        <v>0.47</v>
      </c>
      <c r="Z19">
        <v>0.18</v>
      </c>
      <c r="AA19">
        <v>0.2</v>
      </c>
      <c r="AB19" s="4">
        <f t="shared" si="5"/>
        <v>1.6525606756686053</v>
      </c>
      <c r="AC19">
        <v>1.43</v>
      </c>
      <c r="AD19">
        <v>0.65</v>
      </c>
      <c r="AE19">
        <v>0.64</v>
      </c>
      <c r="AF19" s="21">
        <f t="shared" si="6"/>
        <v>0.21603862476478147</v>
      </c>
      <c r="AG19" s="21">
        <v>-0.45</v>
      </c>
      <c r="AH19" s="21">
        <v>0.02</v>
      </c>
      <c r="AI19" s="21">
        <v>0.27</v>
      </c>
      <c r="AJ19" s="21">
        <v>0.28999999999999998</v>
      </c>
      <c r="AK19" s="4">
        <f>Таблица1[[#This Row],[Печалба на месец]]/Таблица1[[#This Row],[Литри]]</f>
        <v>0.18291657448086224</v>
      </c>
      <c r="AL19">
        <v>-0.32456334832623485</v>
      </c>
      <c r="AM19">
        <v>-0.30834018358059906</v>
      </c>
      <c r="AN19">
        <v>0.27865063499971043</v>
      </c>
      <c r="AO19">
        <v>0.91611905718249187</v>
      </c>
      <c r="AP19" s="16">
        <v>0.72000000000000008</v>
      </c>
    </row>
    <row r="20" spans="1:42" x14ac:dyDescent="0.35">
      <c r="A20" s="2">
        <v>44013</v>
      </c>
      <c r="B20">
        <v>192001.68</v>
      </c>
      <c r="C20">
        <v>0</v>
      </c>
      <c r="D20">
        <v>0</v>
      </c>
      <c r="E20">
        <v>0</v>
      </c>
      <c r="F20" s="1">
        <f t="shared" si="0"/>
        <v>192001.68</v>
      </c>
      <c r="G20">
        <v>2684.7200000000003</v>
      </c>
      <c r="H20">
        <v>5976.9</v>
      </c>
      <c r="I20">
        <v>799.94</v>
      </c>
      <c r="J20">
        <v>8837.67</v>
      </c>
      <c r="K20">
        <v>22463.23</v>
      </c>
      <c r="L20">
        <v>11120.2</v>
      </c>
      <c r="M20">
        <v>3949.4799999999996</v>
      </c>
      <c r="N20">
        <v>4004.41</v>
      </c>
      <c r="O20">
        <v>11637.07</v>
      </c>
      <c r="P20">
        <v>111715.26000000001</v>
      </c>
      <c r="Q20">
        <v>307</v>
      </c>
      <c r="R20">
        <v>26.25</v>
      </c>
      <c r="S20">
        <v>0</v>
      </c>
      <c r="T20" s="1">
        <f t="shared" si="1"/>
        <v>183522.13</v>
      </c>
      <c r="U20">
        <f t="shared" si="2"/>
        <v>8479.5499999999884</v>
      </c>
      <c r="V20">
        <f t="shared" si="3"/>
        <v>145189.28000000003</v>
      </c>
      <c r="W20">
        <v>269669</v>
      </c>
      <c r="X20" s="4">
        <f t="shared" si="4"/>
        <v>0.53839811027593099</v>
      </c>
      <c r="Y20">
        <v>0.47</v>
      </c>
      <c r="Z20">
        <v>0.18</v>
      </c>
      <c r="AA20">
        <v>0.2</v>
      </c>
      <c r="AB20" s="4">
        <f t="shared" si="5"/>
        <v>1.7186701261761372</v>
      </c>
      <c r="AC20">
        <v>1.43</v>
      </c>
      <c r="AD20">
        <v>0.65</v>
      </c>
      <c r="AE20">
        <v>0.64</v>
      </c>
      <c r="AF20" s="21">
        <f t="shared" si="6"/>
        <v>4.4163936482222388E-2</v>
      </c>
      <c r="AG20" s="21">
        <v>-0.45</v>
      </c>
      <c r="AH20" s="21">
        <v>0.02</v>
      </c>
      <c r="AI20" s="21">
        <v>0.27</v>
      </c>
      <c r="AJ20" s="21">
        <v>0.28999999999999998</v>
      </c>
      <c r="AK20" s="4">
        <f>Таблица1[[#This Row],[Печалба на месец]]/Таблица1[[#This Row],[Литри]]</f>
        <v>3.1444289109982933E-2</v>
      </c>
      <c r="AL20">
        <v>-0.32456334832623485</v>
      </c>
      <c r="AM20">
        <v>-0.30834018358059906</v>
      </c>
      <c r="AN20">
        <v>0.27865063499971043</v>
      </c>
      <c r="AO20">
        <v>0.91611905718249187</v>
      </c>
      <c r="AP20" s="16">
        <v>0.71199018055468</v>
      </c>
    </row>
    <row r="21" spans="1:42" x14ac:dyDescent="0.35">
      <c r="A21" s="2">
        <v>44044</v>
      </c>
      <c r="B21">
        <v>202282.56</v>
      </c>
      <c r="C21">
        <v>0</v>
      </c>
      <c r="D21">
        <v>0</v>
      </c>
      <c r="E21">
        <v>25000</v>
      </c>
      <c r="F21" s="1">
        <f t="shared" si="0"/>
        <v>227282.56</v>
      </c>
      <c r="G21">
        <v>2047.75</v>
      </c>
      <c r="H21">
        <v>6236.58</v>
      </c>
      <c r="I21">
        <v>170.92</v>
      </c>
      <c r="J21">
        <v>8558.5</v>
      </c>
      <c r="K21">
        <v>38614.620000000003</v>
      </c>
      <c r="L21">
        <v>679.18999999999994</v>
      </c>
      <c r="M21">
        <v>9247.39</v>
      </c>
      <c r="N21">
        <v>4758.1000000000004</v>
      </c>
      <c r="O21">
        <v>1736.79</v>
      </c>
      <c r="P21">
        <v>121174.45</v>
      </c>
      <c r="Q21">
        <v>326</v>
      </c>
      <c r="R21">
        <v>0</v>
      </c>
      <c r="S21">
        <v>720</v>
      </c>
      <c r="T21" s="1">
        <f t="shared" si="1"/>
        <v>194270.29</v>
      </c>
      <c r="U21">
        <f t="shared" si="2"/>
        <v>33012.26999999999</v>
      </c>
      <c r="V21">
        <f t="shared" si="3"/>
        <v>145558.16999999998</v>
      </c>
      <c r="W21">
        <v>280948</v>
      </c>
      <c r="X21" s="4">
        <f t="shared" si="4"/>
        <v>0.51809648048749224</v>
      </c>
      <c r="Y21">
        <v>0.47</v>
      </c>
      <c r="Z21">
        <v>0.18</v>
      </c>
      <c r="AA21">
        <v>0.2</v>
      </c>
      <c r="AB21" s="4">
        <f t="shared" si="5"/>
        <v>1.6693499330923309</v>
      </c>
      <c r="AC21">
        <v>1.43</v>
      </c>
      <c r="AD21">
        <v>0.65</v>
      </c>
      <c r="AE21">
        <v>0.64</v>
      </c>
      <c r="AF21" s="21">
        <f t="shared" si="6"/>
        <v>0.14524770400333395</v>
      </c>
      <c r="AG21" s="21">
        <v>-0.45</v>
      </c>
      <c r="AH21" s="21">
        <v>0.02</v>
      </c>
      <c r="AI21" s="21">
        <v>0.27</v>
      </c>
      <c r="AJ21" s="21">
        <v>0.28999999999999998</v>
      </c>
      <c r="AK21" s="4">
        <f>Таблица1[[#This Row],[Печалба на месец]]/Таблица1[[#This Row],[Литри]]</f>
        <v>0.11750313225223169</v>
      </c>
      <c r="AL21">
        <v>-0.32456334832623485</v>
      </c>
      <c r="AM21">
        <v>-0.30834018358059906</v>
      </c>
      <c r="AN21">
        <v>0.27865063499971043</v>
      </c>
      <c r="AO21">
        <v>0.91611905718249187</v>
      </c>
      <c r="AP21" s="16">
        <v>0.72</v>
      </c>
    </row>
    <row r="22" spans="1:42" x14ac:dyDescent="0.35">
      <c r="A22" s="2">
        <v>44075</v>
      </c>
      <c r="B22">
        <v>184525.92</v>
      </c>
      <c r="C22">
        <v>0</v>
      </c>
      <c r="D22">
        <v>0</v>
      </c>
      <c r="E22">
        <v>10419.689999999999</v>
      </c>
      <c r="F22" s="1">
        <f t="shared" si="0"/>
        <v>194945.61000000002</v>
      </c>
      <c r="G22">
        <v>1221.3</v>
      </c>
      <c r="H22">
        <v>4458.3900000000003</v>
      </c>
      <c r="I22">
        <v>2561.5300000000002</v>
      </c>
      <c r="J22">
        <v>7262.09</v>
      </c>
      <c r="K22">
        <v>26665.760000000002</v>
      </c>
      <c r="L22">
        <v>5368.49</v>
      </c>
      <c r="M22">
        <v>9043.98</v>
      </c>
      <c r="N22">
        <v>3469.62</v>
      </c>
      <c r="O22">
        <v>3408.29</v>
      </c>
      <c r="P22">
        <v>125576.54999999999</v>
      </c>
      <c r="Q22">
        <v>992</v>
      </c>
      <c r="R22">
        <v>0</v>
      </c>
      <c r="S22">
        <v>759.84</v>
      </c>
      <c r="T22" s="1">
        <f t="shared" si="1"/>
        <v>190787.84</v>
      </c>
      <c r="U22">
        <f t="shared" si="2"/>
        <v>4157.7700000000186</v>
      </c>
      <c r="V22">
        <f t="shared" si="3"/>
        <v>147148.07999999999</v>
      </c>
      <c r="W22">
        <v>256286</v>
      </c>
      <c r="X22" s="4">
        <f t="shared" si="4"/>
        <v>0.57415574787542034</v>
      </c>
      <c r="Y22">
        <v>0.47</v>
      </c>
      <c r="Z22">
        <v>0.18</v>
      </c>
      <c r="AA22">
        <v>0.2</v>
      </c>
      <c r="AB22" s="4">
        <f t="shared" si="5"/>
        <v>1.4694297621649903</v>
      </c>
      <c r="AC22">
        <v>1.43</v>
      </c>
      <c r="AD22">
        <v>0.65</v>
      </c>
      <c r="AE22">
        <v>0.64</v>
      </c>
      <c r="AF22" s="21">
        <f t="shared" si="6"/>
        <v>2.1327846264401738E-2</v>
      </c>
      <c r="AG22" s="21">
        <v>-0.45</v>
      </c>
      <c r="AH22" s="21">
        <v>0.02</v>
      </c>
      <c r="AI22" s="21">
        <v>0.27</v>
      </c>
      <c r="AJ22" s="21">
        <v>0.28999999999999998</v>
      </c>
      <c r="AK22" s="4">
        <f>Таблица1[[#This Row],[Печалба на месец]]/Таблица1[[#This Row],[Литри]]</f>
        <v>1.6223164745635808E-2</v>
      </c>
      <c r="AL22">
        <v>-0.32456334832623485</v>
      </c>
      <c r="AM22">
        <v>-0.30834018358059906</v>
      </c>
      <c r="AN22">
        <v>0.27865063499971043</v>
      </c>
      <c r="AO22">
        <v>0.91611905718249187</v>
      </c>
      <c r="AP22" s="16">
        <v>0.72000000000000008</v>
      </c>
    </row>
    <row r="23" spans="1:42" x14ac:dyDescent="0.35">
      <c r="A23" s="2">
        <v>44105</v>
      </c>
      <c r="B23">
        <v>180128.59</v>
      </c>
      <c r="C23">
        <v>0</v>
      </c>
      <c r="D23">
        <v>0</v>
      </c>
      <c r="E23">
        <v>9000</v>
      </c>
      <c r="F23" s="1">
        <f t="shared" si="0"/>
        <v>189128.59</v>
      </c>
      <c r="G23">
        <v>4226.18</v>
      </c>
      <c r="H23">
        <v>4994.34</v>
      </c>
      <c r="I23">
        <v>2622.8500000000004</v>
      </c>
      <c r="J23">
        <v>8837.66</v>
      </c>
      <c r="K23">
        <v>27760.7</v>
      </c>
      <c r="L23">
        <v>4333.57</v>
      </c>
      <c r="M23">
        <v>9054.8700000000008</v>
      </c>
      <c r="N23">
        <v>4387.16</v>
      </c>
      <c r="O23">
        <v>2752.19</v>
      </c>
      <c r="P23">
        <v>122604.68000000001</v>
      </c>
      <c r="Q23">
        <v>1174</v>
      </c>
      <c r="R23">
        <v>0</v>
      </c>
      <c r="S23">
        <v>0</v>
      </c>
      <c r="T23" s="1">
        <f t="shared" si="1"/>
        <v>192748.2</v>
      </c>
      <c r="U23">
        <f t="shared" si="2"/>
        <v>-3619.6100000000151</v>
      </c>
      <c r="V23">
        <f t="shared" si="3"/>
        <v>148976.21000000002</v>
      </c>
      <c r="W23">
        <v>246557</v>
      </c>
      <c r="X23" s="4">
        <f t="shared" si="4"/>
        <v>0.60422624383002721</v>
      </c>
      <c r="Y23">
        <v>0.47</v>
      </c>
      <c r="Z23">
        <v>0.18</v>
      </c>
      <c r="AA23">
        <v>0.2</v>
      </c>
      <c r="AB23" s="4">
        <f t="shared" si="5"/>
        <v>1.4691820083866292</v>
      </c>
      <c r="AC23">
        <v>1.43</v>
      </c>
      <c r="AD23">
        <v>0.65</v>
      </c>
      <c r="AE23">
        <v>0.64</v>
      </c>
      <c r="AF23" s="21">
        <f t="shared" si="6"/>
        <v>-1.9138354492041713E-2</v>
      </c>
      <c r="AG23" s="21">
        <v>-0.45</v>
      </c>
      <c r="AH23" s="21">
        <v>0.02</v>
      </c>
      <c r="AI23" s="21">
        <v>0.27</v>
      </c>
      <c r="AJ23" s="21">
        <v>0.28999999999999998</v>
      </c>
      <c r="AK23" s="4">
        <f>Таблица1[[#This Row],[Печалба на месец]]/Таблица1[[#This Row],[Литри]]</f>
        <v>-1.4680621519567545E-2</v>
      </c>
      <c r="AL23">
        <v>-0.32456334832623485</v>
      </c>
      <c r="AM23">
        <v>-0.30834018358059906</v>
      </c>
      <c r="AN23">
        <v>0.27865063499971043</v>
      </c>
      <c r="AO23">
        <v>0.91611905718249187</v>
      </c>
      <c r="AP23" s="16">
        <v>0.73057585061466512</v>
      </c>
    </row>
    <row r="24" spans="1:42" x14ac:dyDescent="0.35">
      <c r="A24" s="2">
        <v>44136</v>
      </c>
      <c r="B24">
        <v>160696</v>
      </c>
      <c r="C24">
        <v>21950</v>
      </c>
      <c r="D24">
        <v>1400</v>
      </c>
      <c r="E24">
        <v>24362.2</v>
      </c>
      <c r="F24" s="1">
        <f t="shared" si="0"/>
        <v>208408.2</v>
      </c>
      <c r="G24">
        <v>2407.4700000000003</v>
      </c>
      <c r="H24">
        <v>5386.1</v>
      </c>
      <c r="I24">
        <v>2967.8100000000004</v>
      </c>
      <c r="J24">
        <v>9746.25</v>
      </c>
      <c r="K24">
        <v>19523</v>
      </c>
      <c r="L24">
        <v>769.87</v>
      </c>
      <c r="M24">
        <v>9065.89</v>
      </c>
      <c r="N24">
        <v>4498.93</v>
      </c>
      <c r="O24">
        <v>4416.84</v>
      </c>
      <c r="P24">
        <v>117466.68000000001</v>
      </c>
      <c r="Q24">
        <v>6822.2</v>
      </c>
      <c r="R24">
        <v>340</v>
      </c>
      <c r="S24">
        <v>6920.13</v>
      </c>
      <c r="T24" s="1">
        <f t="shared" si="1"/>
        <v>190331.17000000004</v>
      </c>
      <c r="U24">
        <f t="shared" si="2"/>
        <v>18077.02999999997</v>
      </c>
      <c r="V24">
        <f t="shared" si="3"/>
        <v>158004.60000000003</v>
      </c>
      <c r="W24">
        <v>214262</v>
      </c>
      <c r="X24" s="4">
        <f t="shared" si="4"/>
        <v>0.73743640962933243</v>
      </c>
      <c r="Y24">
        <v>0.47</v>
      </c>
      <c r="Z24">
        <v>0.18</v>
      </c>
      <c r="AA24">
        <v>0.2</v>
      </c>
      <c r="AB24" s="4">
        <f t="shared" si="5"/>
        <v>1.3680134656057359</v>
      </c>
      <c r="AC24">
        <v>1.43</v>
      </c>
      <c r="AD24">
        <v>0.65</v>
      </c>
      <c r="AE24">
        <v>0.64</v>
      </c>
      <c r="AF24" s="21">
        <f t="shared" si="6"/>
        <v>8.673857362618155E-2</v>
      </c>
      <c r="AG24" s="21">
        <v>-0.45</v>
      </c>
      <c r="AH24" s="21">
        <v>0.02</v>
      </c>
      <c r="AI24" s="21">
        <v>0.27</v>
      </c>
      <c r="AJ24" s="21">
        <v>0.28999999999999998</v>
      </c>
      <c r="AK24" s="4">
        <f>Таблица1[[#This Row],[Печалба на месец]]/Таблица1[[#This Row],[Литри]]</f>
        <v>8.436881014832294E-2</v>
      </c>
      <c r="AL24">
        <v>-0.32456334832623485</v>
      </c>
      <c r="AM24">
        <v>-0.30834018358059906</v>
      </c>
      <c r="AN24">
        <v>0.27865063499971043</v>
      </c>
      <c r="AO24">
        <v>0.91611905718249187</v>
      </c>
      <c r="AP24" s="16">
        <v>0.74999766640841592</v>
      </c>
    </row>
    <row r="25" spans="1:42" x14ac:dyDescent="0.35">
      <c r="A25" s="2">
        <v>44166</v>
      </c>
      <c r="B25">
        <v>157221</v>
      </c>
      <c r="C25">
        <v>3900</v>
      </c>
      <c r="D25">
        <v>0</v>
      </c>
      <c r="E25">
        <v>261816.16</v>
      </c>
      <c r="F25" s="1">
        <f t="shared" si="0"/>
        <v>422937.16000000003</v>
      </c>
      <c r="G25">
        <v>1771.1499999999999</v>
      </c>
      <c r="H25">
        <v>6030.4</v>
      </c>
      <c r="I25">
        <v>5206.4999999999991</v>
      </c>
      <c r="J25">
        <v>8842.0400000000009</v>
      </c>
      <c r="K25">
        <v>19523</v>
      </c>
      <c r="L25">
        <v>5331.1200000000008</v>
      </c>
      <c r="M25">
        <v>3994.3700000000003</v>
      </c>
      <c r="N25">
        <v>4630.7</v>
      </c>
      <c r="O25">
        <v>3677.91</v>
      </c>
      <c r="P25">
        <v>112756.64</v>
      </c>
      <c r="Q25">
        <v>2355.48</v>
      </c>
      <c r="R25">
        <v>2</v>
      </c>
      <c r="S25">
        <v>1758.32</v>
      </c>
      <c r="T25" s="1">
        <f t="shared" si="1"/>
        <v>175879.63000000003</v>
      </c>
      <c r="U25">
        <f t="shared" si="2"/>
        <v>247057.53</v>
      </c>
      <c r="V25">
        <f t="shared" si="3"/>
        <v>141824.64000000001</v>
      </c>
      <c r="W25">
        <v>209629</v>
      </c>
      <c r="X25" s="4">
        <f t="shared" si="4"/>
        <v>0.6765506680850456</v>
      </c>
      <c r="Y25">
        <v>0.47</v>
      </c>
      <c r="Z25">
        <v>0.18</v>
      </c>
      <c r="AA25">
        <v>0.2</v>
      </c>
      <c r="AB25" s="4">
        <f t="shared" si="5"/>
        <v>1.3943391715113185</v>
      </c>
      <c r="AC25">
        <v>1.43</v>
      </c>
      <c r="AD25">
        <v>0.65</v>
      </c>
      <c r="AE25">
        <v>0.64</v>
      </c>
      <c r="AF25" s="21">
        <f t="shared" si="6"/>
        <v>0.58414713429295262</v>
      </c>
      <c r="AG25" s="21">
        <v>-0.45</v>
      </c>
      <c r="AH25" s="21">
        <v>0.02</v>
      </c>
      <c r="AI25" s="21">
        <v>0.27</v>
      </c>
      <c r="AJ25" s="21">
        <v>0.28999999999999998</v>
      </c>
      <c r="AK25" s="4">
        <f>Таблица1[[#This Row],[Печалба на месец]]/Таблица1[[#This Row],[Литри]]</f>
        <v>1.1785465274365665</v>
      </c>
      <c r="AL25">
        <v>-0.32456334832623485</v>
      </c>
      <c r="AM25">
        <v>-0.30834018358059906</v>
      </c>
      <c r="AN25">
        <v>0.27865063499971043</v>
      </c>
      <c r="AO25">
        <v>0.91611905718249187</v>
      </c>
      <c r="AP25" s="16">
        <v>0.74999642225073826</v>
      </c>
    </row>
    <row r="26" spans="1:42" x14ac:dyDescent="0.35">
      <c r="A26" s="2">
        <v>44197</v>
      </c>
      <c r="B26">
        <v>182567</v>
      </c>
      <c r="C26">
        <v>4860</v>
      </c>
      <c r="D26">
        <v>0</v>
      </c>
      <c r="E26">
        <v>3391.5</v>
      </c>
      <c r="F26" s="1">
        <f t="shared" si="0"/>
        <v>190818.5</v>
      </c>
      <c r="G26">
        <v>2706.12</v>
      </c>
      <c r="H26">
        <v>5940.77</v>
      </c>
      <c r="I26">
        <v>0</v>
      </c>
      <c r="J26">
        <v>9410.8100000000013</v>
      </c>
      <c r="K26">
        <v>4750</v>
      </c>
      <c r="L26">
        <v>1174.33</v>
      </c>
      <c r="M26">
        <v>2585.23</v>
      </c>
      <c r="N26">
        <v>7354.38</v>
      </c>
      <c r="O26">
        <v>2752.98</v>
      </c>
      <c r="P26">
        <v>101570.94</v>
      </c>
      <c r="Q26">
        <v>0</v>
      </c>
      <c r="R26">
        <v>586.5</v>
      </c>
      <c r="S26">
        <v>170</v>
      </c>
      <c r="T26" s="1">
        <f t="shared" si="1"/>
        <v>139002.06</v>
      </c>
      <c r="U26">
        <f t="shared" si="2"/>
        <v>51816.44</v>
      </c>
      <c r="V26">
        <f t="shared" si="3"/>
        <v>130492.5</v>
      </c>
      <c r="W26">
        <v>243423</v>
      </c>
      <c r="X26" s="4">
        <f t="shared" si="4"/>
        <v>0.53607300871322761</v>
      </c>
      <c r="Y26">
        <v>0.47</v>
      </c>
      <c r="Z26">
        <v>0.18</v>
      </c>
      <c r="AA26">
        <v>0.2</v>
      </c>
      <c r="AB26" s="4">
        <f t="shared" si="5"/>
        <v>1.7974333997499679</v>
      </c>
      <c r="AC26">
        <v>1.43</v>
      </c>
      <c r="AD26">
        <v>0.65</v>
      </c>
      <c r="AE26">
        <v>0.64</v>
      </c>
      <c r="AF26" s="21">
        <f t="shared" si="6"/>
        <v>0.27154830375461497</v>
      </c>
      <c r="AG26" s="21">
        <v>-0.45</v>
      </c>
      <c r="AH26" s="21">
        <v>0.02</v>
      </c>
      <c r="AI26" s="21">
        <v>0.27</v>
      </c>
      <c r="AJ26" s="21">
        <v>0.28999999999999998</v>
      </c>
      <c r="AK26" s="4">
        <f>Таблица1[[#This Row],[Печалба на месец]]/Таблица1[[#This Row],[Литри]]</f>
        <v>0.21286583437062234</v>
      </c>
      <c r="AL26">
        <v>-0.32456334832623485</v>
      </c>
      <c r="AM26">
        <v>-0.30834018358059906</v>
      </c>
      <c r="AN26">
        <v>0.27865063499971043</v>
      </c>
      <c r="AO26">
        <v>0.91611905718249187</v>
      </c>
      <c r="AP26" s="16">
        <v>0.74999897298118912</v>
      </c>
    </row>
    <row r="27" spans="1:42" x14ac:dyDescent="0.35">
      <c r="A27" s="2">
        <v>44228</v>
      </c>
      <c r="B27">
        <v>186699.75</v>
      </c>
      <c r="C27">
        <v>0</v>
      </c>
      <c r="D27">
        <v>0</v>
      </c>
      <c r="E27">
        <v>6460</v>
      </c>
      <c r="F27" s="1">
        <f t="shared" si="0"/>
        <v>193159.75</v>
      </c>
      <c r="G27">
        <v>2323.75</v>
      </c>
      <c r="H27">
        <v>5290.04</v>
      </c>
      <c r="I27">
        <v>577.96</v>
      </c>
      <c r="J27">
        <v>9980.1200000000008</v>
      </c>
      <c r="K27">
        <v>19523</v>
      </c>
      <c r="L27">
        <v>3281.8999999999996</v>
      </c>
      <c r="M27">
        <v>2596.3199999999997</v>
      </c>
      <c r="N27">
        <v>8354.6299999999992</v>
      </c>
      <c r="O27">
        <v>4548.46</v>
      </c>
      <c r="P27">
        <v>116815</v>
      </c>
      <c r="Q27">
        <v>0</v>
      </c>
      <c r="R27">
        <v>0</v>
      </c>
      <c r="S27">
        <v>388.49</v>
      </c>
      <c r="T27" s="1">
        <f t="shared" si="1"/>
        <v>173679.66999999998</v>
      </c>
      <c r="U27">
        <f t="shared" si="2"/>
        <v>19480.080000000016</v>
      </c>
      <c r="V27">
        <f t="shared" si="3"/>
        <v>147700.49</v>
      </c>
      <c r="W27">
        <v>248933</v>
      </c>
      <c r="X27" s="4">
        <f t="shared" si="4"/>
        <v>0.5933343108386594</v>
      </c>
      <c r="Y27">
        <v>0.47</v>
      </c>
      <c r="Z27">
        <v>0.18</v>
      </c>
      <c r="AA27">
        <v>0.2</v>
      </c>
      <c r="AB27" s="4">
        <f t="shared" si="5"/>
        <v>1.5982515087959595</v>
      </c>
      <c r="AC27">
        <v>1.43</v>
      </c>
      <c r="AD27">
        <v>0.65</v>
      </c>
      <c r="AE27">
        <v>0.64</v>
      </c>
      <c r="AF27" s="21">
        <f t="shared" si="6"/>
        <v>0.10084958175810445</v>
      </c>
      <c r="AG27" s="21">
        <v>-0.45</v>
      </c>
      <c r="AH27" s="21">
        <v>0.02</v>
      </c>
      <c r="AI27" s="21">
        <v>0.27</v>
      </c>
      <c r="AJ27" s="21">
        <v>0.28999999999999998</v>
      </c>
      <c r="AK27" s="4">
        <f>Таблица1[[#This Row],[Печалба на месец]]/Таблица1[[#This Row],[Литри]]</f>
        <v>7.8254309392487204E-2</v>
      </c>
      <c r="AL27">
        <v>-0.32456334832623485</v>
      </c>
      <c r="AM27">
        <v>-0.30834018358059906</v>
      </c>
      <c r="AN27">
        <v>0.27865063499971043</v>
      </c>
      <c r="AO27">
        <v>0.91611905718249187</v>
      </c>
      <c r="AP27" s="16">
        <v>0.75</v>
      </c>
    </row>
    <row r="28" spans="1:42" x14ac:dyDescent="0.35">
      <c r="A28" s="2">
        <v>44256</v>
      </c>
      <c r="B28">
        <v>211971.75</v>
      </c>
      <c r="C28">
        <v>0</v>
      </c>
      <c r="D28">
        <v>0</v>
      </c>
      <c r="E28">
        <v>4392.5200000000004</v>
      </c>
      <c r="F28" s="1">
        <f t="shared" si="0"/>
        <v>216364.27</v>
      </c>
      <c r="G28">
        <v>2130.94</v>
      </c>
      <c r="H28">
        <v>6089.05</v>
      </c>
      <c r="I28">
        <v>502.14</v>
      </c>
      <c r="J28">
        <v>9573.2099999999991</v>
      </c>
      <c r="K28">
        <v>18447.12</v>
      </c>
      <c r="L28">
        <v>1480.9299999999998</v>
      </c>
      <c r="M28">
        <v>2607.4500000000003</v>
      </c>
      <c r="N28">
        <v>8433.39</v>
      </c>
      <c r="O28">
        <v>6025.95</v>
      </c>
      <c r="P28">
        <v>148100.22</v>
      </c>
      <c r="Q28">
        <v>0</v>
      </c>
      <c r="R28">
        <v>0</v>
      </c>
      <c r="S28">
        <v>1040</v>
      </c>
      <c r="T28" s="1">
        <f t="shared" si="1"/>
        <v>204430.4</v>
      </c>
      <c r="U28">
        <f t="shared" si="2"/>
        <v>11933.869999999995</v>
      </c>
      <c r="V28">
        <f t="shared" si="3"/>
        <v>181392.76</v>
      </c>
      <c r="W28">
        <v>282629</v>
      </c>
      <c r="X28" s="4">
        <f t="shared" si="4"/>
        <v>0.64180519338072173</v>
      </c>
      <c r="Y28">
        <v>0.47</v>
      </c>
      <c r="Z28">
        <v>0.18</v>
      </c>
      <c r="AA28">
        <v>0.2</v>
      </c>
      <c r="AB28" s="4">
        <f t="shared" si="5"/>
        <v>1.4312723505744962</v>
      </c>
      <c r="AC28">
        <v>1.43</v>
      </c>
      <c r="AD28">
        <v>0.65</v>
      </c>
      <c r="AE28">
        <v>0.64</v>
      </c>
      <c r="AF28" s="21">
        <f t="shared" si="6"/>
        <v>5.5156380487406703E-2</v>
      </c>
      <c r="AG28" s="21">
        <v>-0.45</v>
      </c>
      <c r="AH28" s="21">
        <v>0.02</v>
      </c>
      <c r="AI28" s="21">
        <v>0.27</v>
      </c>
      <c r="AJ28" s="21">
        <v>0.28999999999999998</v>
      </c>
      <c r="AK28" s="4">
        <f>Таблица1[[#This Row],[Печалба на месец]]/Таблица1[[#This Row],[Литри]]</f>
        <v>4.2224506331622003E-2</v>
      </c>
      <c r="AL28">
        <v>-0.32456334832623485</v>
      </c>
      <c r="AM28">
        <v>-0.30834018358059906</v>
      </c>
      <c r="AN28">
        <v>0.27865063499971043</v>
      </c>
      <c r="AO28">
        <v>0.91611905718249187</v>
      </c>
      <c r="AP28" s="16">
        <v>0.75</v>
      </c>
    </row>
    <row r="29" spans="1:42" x14ac:dyDescent="0.35">
      <c r="A29" s="2">
        <v>44287</v>
      </c>
      <c r="B29">
        <v>201074.25</v>
      </c>
      <c r="C29">
        <v>0</v>
      </c>
      <c r="D29">
        <v>2000</v>
      </c>
      <c r="E29">
        <v>76229.03</v>
      </c>
      <c r="F29" s="1">
        <f t="shared" si="0"/>
        <v>279303.28000000003</v>
      </c>
      <c r="G29">
        <v>2745.56</v>
      </c>
      <c r="H29">
        <v>5549.91</v>
      </c>
      <c r="I29">
        <v>563.68000000000006</v>
      </c>
      <c r="J29">
        <v>8886.51</v>
      </c>
      <c r="K29">
        <v>20598.879999999997</v>
      </c>
      <c r="L29">
        <v>1932.8300000000002</v>
      </c>
      <c r="M29">
        <v>2618.62</v>
      </c>
      <c r="N29">
        <v>7362.47</v>
      </c>
      <c r="O29">
        <v>2885.8199999999997</v>
      </c>
      <c r="P29">
        <v>146156.89000000001</v>
      </c>
      <c r="Q29">
        <v>0</v>
      </c>
      <c r="R29">
        <v>0</v>
      </c>
      <c r="S29">
        <v>860</v>
      </c>
      <c r="T29" s="1">
        <f t="shared" si="1"/>
        <v>200161.17</v>
      </c>
      <c r="U29">
        <f t="shared" si="2"/>
        <v>79142.110000000015</v>
      </c>
      <c r="V29">
        <f t="shared" si="3"/>
        <v>174447.16</v>
      </c>
      <c r="W29">
        <v>268099</v>
      </c>
      <c r="X29" s="4">
        <f t="shared" si="4"/>
        <v>0.65068187497901897</v>
      </c>
      <c r="Y29">
        <v>0.47</v>
      </c>
      <c r="Z29">
        <v>0.18</v>
      </c>
      <c r="AA29">
        <v>0.2</v>
      </c>
      <c r="AB29" s="4">
        <f t="shared" si="5"/>
        <v>1.375742532562098</v>
      </c>
      <c r="AC29">
        <v>1.43</v>
      </c>
      <c r="AD29">
        <v>0.65</v>
      </c>
      <c r="AE29">
        <v>0.64</v>
      </c>
      <c r="AF29" s="21">
        <f t="shared" si="6"/>
        <v>0.28335546220581442</v>
      </c>
      <c r="AG29" s="21">
        <v>-0.45</v>
      </c>
      <c r="AH29" s="21">
        <v>0.02</v>
      </c>
      <c r="AI29" s="21">
        <v>0.27</v>
      </c>
      <c r="AJ29" s="21">
        <v>0.28999999999999998</v>
      </c>
      <c r="AK29" s="4">
        <f>Таблица1[[#This Row],[Печалба на месец]]/Таблица1[[#This Row],[Литри]]</f>
        <v>0.29519733382071556</v>
      </c>
      <c r="AL29">
        <v>-0.32456334832623485</v>
      </c>
      <c r="AM29">
        <v>-0.30834018358059906</v>
      </c>
      <c r="AN29">
        <v>0.27865063499971043</v>
      </c>
      <c r="AO29">
        <v>0.91611905718249187</v>
      </c>
      <c r="AP29" s="16">
        <v>0.75</v>
      </c>
    </row>
    <row r="30" spans="1:42" x14ac:dyDescent="0.35">
      <c r="A30" s="2">
        <v>44317</v>
      </c>
      <c r="B30">
        <v>199754.25</v>
      </c>
      <c r="C30">
        <v>0</v>
      </c>
      <c r="D30">
        <v>2000</v>
      </c>
      <c r="E30">
        <v>0</v>
      </c>
      <c r="F30" s="1">
        <f t="shared" si="0"/>
        <v>201754.25</v>
      </c>
      <c r="G30">
        <v>623</v>
      </c>
      <c r="H30">
        <v>4858.05</v>
      </c>
      <c r="I30">
        <v>467.15000000000003</v>
      </c>
      <c r="J30">
        <v>9159.69</v>
      </c>
      <c r="K30">
        <v>0</v>
      </c>
      <c r="L30">
        <v>1237.99</v>
      </c>
      <c r="M30">
        <v>2629.86</v>
      </c>
      <c r="N30">
        <v>6602.56</v>
      </c>
      <c r="O30">
        <v>5392.12</v>
      </c>
      <c r="P30">
        <v>100629.16</v>
      </c>
      <c r="Q30">
        <v>0</v>
      </c>
      <c r="R30">
        <v>0</v>
      </c>
      <c r="S30">
        <v>260</v>
      </c>
      <c r="T30" s="1">
        <f t="shared" si="1"/>
        <v>131859.58000000002</v>
      </c>
      <c r="U30">
        <f t="shared" si="2"/>
        <v>69894.669999999984</v>
      </c>
      <c r="V30">
        <f t="shared" si="3"/>
        <v>127524.58</v>
      </c>
      <c r="W30">
        <v>266339</v>
      </c>
      <c r="X30" s="4">
        <f t="shared" si="4"/>
        <v>0.4788055072670544</v>
      </c>
      <c r="Y30">
        <v>0.47</v>
      </c>
      <c r="Z30">
        <v>0.18</v>
      </c>
      <c r="AA30">
        <v>0.2</v>
      </c>
      <c r="AB30" s="4">
        <f t="shared" si="5"/>
        <v>1.9850533384160216</v>
      </c>
      <c r="AC30">
        <v>1.43</v>
      </c>
      <c r="AD30">
        <v>0.65</v>
      </c>
      <c r="AE30">
        <v>0.64</v>
      </c>
      <c r="AF30" s="21">
        <f t="shared" si="6"/>
        <v>0.34643468477120054</v>
      </c>
      <c r="AG30" s="21">
        <v>-0.45</v>
      </c>
      <c r="AH30" s="21">
        <v>0.02</v>
      </c>
      <c r="AI30" s="21">
        <v>0.27</v>
      </c>
      <c r="AJ30" s="21">
        <v>0.28999999999999998</v>
      </c>
      <c r="AK30" s="4">
        <f>Таблица1[[#This Row],[Печалба на месец]]/Таблица1[[#This Row],[Литри]]</f>
        <v>0.26242747025407465</v>
      </c>
      <c r="AL30">
        <v>-0.32456334832623485</v>
      </c>
      <c r="AM30">
        <v>-0.30834018358059906</v>
      </c>
      <c r="AN30">
        <v>0.27865063499971043</v>
      </c>
      <c r="AO30">
        <v>0.91611905718249187</v>
      </c>
      <c r="AP30" s="16">
        <v>0.75</v>
      </c>
    </row>
    <row r="31" spans="1:42" x14ac:dyDescent="0.35">
      <c r="A31" s="2">
        <v>44348</v>
      </c>
      <c r="B31">
        <v>175575</v>
      </c>
      <c r="C31">
        <v>0</v>
      </c>
      <c r="D31">
        <v>0</v>
      </c>
      <c r="E31">
        <v>1221.97</v>
      </c>
      <c r="F31" s="1">
        <f t="shared" si="0"/>
        <v>176796.97</v>
      </c>
      <c r="G31">
        <v>2933.1200000000003</v>
      </c>
      <c r="H31">
        <v>5931.81</v>
      </c>
      <c r="I31">
        <v>0</v>
      </c>
      <c r="J31">
        <v>8898.8799999999992</v>
      </c>
      <c r="K31">
        <v>0</v>
      </c>
      <c r="L31">
        <v>2399.83</v>
      </c>
      <c r="M31">
        <v>2277.85</v>
      </c>
      <c r="N31">
        <v>7521.05</v>
      </c>
      <c r="O31">
        <v>7078.6900000000005</v>
      </c>
      <c r="P31">
        <v>112743.9</v>
      </c>
      <c r="Q31">
        <v>0</v>
      </c>
      <c r="R31">
        <v>0</v>
      </c>
      <c r="S31">
        <v>0</v>
      </c>
      <c r="T31" s="1">
        <f t="shared" si="1"/>
        <v>149785.13</v>
      </c>
      <c r="U31">
        <f t="shared" si="2"/>
        <v>27011.839999999997</v>
      </c>
      <c r="V31">
        <f t="shared" si="3"/>
        <v>145107.44999999998</v>
      </c>
      <c r="W31">
        <v>234100</v>
      </c>
      <c r="X31" s="4">
        <f t="shared" si="4"/>
        <v>0.61985241349850484</v>
      </c>
      <c r="Y31">
        <v>0.47</v>
      </c>
      <c r="Z31">
        <v>0.18</v>
      </c>
      <c r="AA31">
        <v>0.2</v>
      </c>
      <c r="AB31" s="4">
        <f t="shared" si="5"/>
        <v>1.557290460947333</v>
      </c>
      <c r="AC31">
        <v>1.43</v>
      </c>
      <c r="AD31">
        <v>0.65</v>
      </c>
      <c r="AE31">
        <v>0.64</v>
      </c>
      <c r="AF31" s="21">
        <f t="shared" si="6"/>
        <v>0.15278451887495581</v>
      </c>
      <c r="AG31" s="21">
        <v>-0.45</v>
      </c>
      <c r="AH31" s="21">
        <v>0.02</v>
      </c>
      <c r="AI31" s="21">
        <v>0.27</v>
      </c>
      <c r="AJ31" s="21">
        <v>0.28999999999999998</v>
      </c>
      <c r="AK31" s="4">
        <f>Таблица1[[#This Row],[Печалба на месец]]/Таблица1[[#This Row],[Литри]]</f>
        <v>0.11538590346005979</v>
      </c>
      <c r="AL31">
        <v>-0.32456334832623485</v>
      </c>
      <c r="AM31">
        <v>-0.30834018358059906</v>
      </c>
      <c r="AN31">
        <v>0.27865063499971043</v>
      </c>
      <c r="AO31">
        <v>0.91611905718249187</v>
      </c>
      <c r="AP31" s="16">
        <v>0.75</v>
      </c>
    </row>
    <row r="32" spans="1:42" x14ac:dyDescent="0.35">
      <c r="A32" s="2">
        <v>44378</v>
      </c>
      <c r="B32">
        <v>158392.04999999999</v>
      </c>
      <c r="C32">
        <v>0</v>
      </c>
      <c r="D32">
        <v>0</v>
      </c>
      <c r="E32">
        <v>0</v>
      </c>
      <c r="F32" s="1">
        <f t="shared" si="0"/>
        <v>158392.04999999999</v>
      </c>
      <c r="G32">
        <v>3887.2599999999998</v>
      </c>
      <c r="H32">
        <v>8440.98</v>
      </c>
      <c r="I32">
        <v>3157.3900000000003</v>
      </c>
      <c r="J32">
        <v>8584.06</v>
      </c>
      <c r="K32">
        <v>58569</v>
      </c>
      <c r="L32">
        <v>8673.27</v>
      </c>
      <c r="M32">
        <v>2652.46</v>
      </c>
      <c r="N32">
        <v>8087.36</v>
      </c>
      <c r="O32">
        <v>2863.45</v>
      </c>
      <c r="P32">
        <v>115077.9</v>
      </c>
      <c r="Q32">
        <v>0</v>
      </c>
      <c r="R32">
        <v>0</v>
      </c>
      <c r="S32">
        <v>223.44</v>
      </c>
      <c r="T32" s="1">
        <f t="shared" si="1"/>
        <v>220216.57</v>
      </c>
      <c r="U32">
        <f t="shared" si="2"/>
        <v>-61824.520000000019</v>
      </c>
      <c r="V32">
        <f t="shared" si="3"/>
        <v>147164.45000000001</v>
      </c>
      <c r="W32">
        <v>211190</v>
      </c>
      <c r="X32" s="4">
        <f t="shared" si="4"/>
        <v>0.69683436715753588</v>
      </c>
      <c r="Y32">
        <v>0.47</v>
      </c>
      <c r="Z32">
        <v>0.18</v>
      </c>
      <c r="AA32">
        <v>0.2</v>
      </c>
      <c r="AB32" s="4">
        <f t="shared" si="5"/>
        <v>1.3763898194179769</v>
      </c>
      <c r="AC32">
        <v>1.43</v>
      </c>
      <c r="AD32">
        <v>0.65</v>
      </c>
      <c r="AE32">
        <v>0.64</v>
      </c>
      <c r="AF32" s="21">
        <f t="shared" si="6"/>
        <v>-0.39032590335184136</v>
      </c>
      <c r="AG32" s="21">
        <v>-0.45</v>
      </c>
      <c r="AH32" s="21">
        <v>0.02</v>
      </c>
      <c r="AI32" s="21">
        <v>0.27</v>
      </c>
      <c r="AJ32" s="21">
        <v>0.28999999999999998</v>
      </c>
      <c r="AK32" s="4">
        <f>Таблица1[[#This Row],[Печалба на месец]]/Таблица1[[#This Row],[Литри]]</f>
        <v>-0.29274359581419584</v>
      </c>
      <c r="AL32">
        <v>-0.32456334832623485</v>
      </c>
      <c r="AM32">
        <v>-0.30834018358059906</v>
      </c>
      <c r="AN32">
        <v>0.27865063499971043</v>
      </c>
      <c r="AO32">
        <v>0.91611905718249187</v>
      </c>
      <c r="AP32" s="16">
        <v>0.74999786921729239</v>
      </c>
    </row>
    <row r="33" spans="1:42" x14ac:dyDescent="0.35">
      <c r="A33" s="2">
        <v>44409</v>
      </c>
      <c r="B33">
        <v>160425</v>
      </c>
      <c r="C33">
        <v>0</v>
      </c>
      <c r="D33">
        <v>0</v>
      </c>
      <c r="E33">
        <v>24978.73</v>
      </c>
      <c r="F33" s="1">
        <f t="shared" si="0"/>
        <v>185403.73</v>
      </c>
      <c r="G33">
        <v>6605.25</v>
      </c>
      <c r="H33">
        <v>7455.89</v>
      </c>
      <c r="I33">
        <v>971.38</v>
      </c>
      <c r="J33">
        <v>7093.26</v>
      </c>
      <c r="K33">
        <v>14824.41</v>
      </c>
      <c r="L33">
        <v>3283.6900000000005</v>
      </c>
      <c r="M33">
        <v>2297.5500000000002</v>
      </c>
      <c r="N33">
        <v>7911.72</v>
      </c>
      <c r="O33">
        <v>1657.2800000000002</v>
      </c>
      <c r="P33">
        <v>100484.44</v>
      </c>
      <c r="Q33">
        <v>0</v>
      </c>
      <c r="R33">
        <v>79.58</v>
      </c>
      <c r="S33">
        <v>7654.31</v>
      </c>
      <c r="T33" s="1">
        <f t="shared" si="1"/>
        <v>160318.75999999998</v>
      </c>
      <c r="U33">
        <f t="shared" si="2"/>
        <v>25084.97000000003</v>
      </c>
      <c r="V33">
        <f t="shared" si="3"/>
        <v>138941.72999999998</v>
      </c>
      <c r="W33">
        <v>213900</v>
      </c>
      <c r="X33" s="4">
        <f t="shared" si="4"/>
        <v>0.6495639551192145</v>
      </c>
      <c r="Y33">
        <v>0.47</v>
      </c>
      <c r="Z33">
        <v>0.18</v>
      </c>
      <c r="AA33">
        <v>0.2</v>
      </c>
      <c r="AB33" s="4">
        <f t="shared" si="5"/>
        <v>1.5965158386711416</v>
      </c>
      <c r="AC33">
        <v>1.43</v>
      </c>
      <c r="AD33">
        <v>0.65</v>
      </c>
      <c r="AE33">
        <v>0.64</v>
      </c>
      <c r="AF33" s="21">
        <f t="shared" si="6"/>
        <v>0.13529916577190776</v>
      </c>
      <c r="AG33" s="21">
        <v>-0.45</v>
      </c>
      <c r="AH33" s="21">
        <v>0.02</v>
      </c>
      <c r="AI33" s="21">
        <v>0.27</v>
      </c>
      <c r="AJ33" s="21">
        <v>0.28999999999999998</v>
      </c>
      <c r="AK33" s="4">
        <f>Таблица1[[#This Row],[Печалба на месец]]/Таблица1[[#This Row],[Литри]]</f>
        <v>0.11727428705002352</v>
      </c>
      <c r="AL33">
        <v>-0.32456334832623485</v>
      </c>
      <c r="AM33">
        <v>-0.30834018358059906</v>
      </c>
      <c r="AN33">
        <v>0.27865063499971043</v>
      </c>
      <c r="AO33">
        <v>0.91611905718249187</v>
      </c>
      <c r="AP33" s="16">
        <v>0.75</v>
      </c>
    </row>
    <row r="34" spans="1:42" x14ac:dyDescent="0.35">
      <c r="A34" s="2">
        <v>44440</v>
      </c>
      <c r="B34">
        <v>166961</v>
      </c>
      <c r="C34">
        <v>12480</v>
      </c>
      <c r="D34">
        <v>0</v>
      </c>
      <c r="E34">
        <v>4322.2700000000004</v>
      </c>
      <c r="F34" s="1">
        <f t="shared" si="0"/>
        <v>183763.27</v>
      </c>
      <c r="G34">
        <v>3301.41</v>
      </c>
      <c r="H34">
        <v>7302.02</v>
      </c>
      <c r="I34">
        <v>0</v>
      </c>
      <c r="J34">
        <v>7093.26</v>
      </c>
      <c r="K34">
        <v>0</v>
      </c>
      <c r="L34">
        <v>112.01</v>
      </c>
      <c r="M34">
        <v>367.79</v>
      </c>
      <c r="N34">
        <v>8905.14</v>
      </c>
      <c r="O34">
        <v>4802.0599999999995</v>
      </c>
      <c r="P34">
        <v>91070.52</v>
      </c>
      <c r="Q34">
        <v>0</v>
      </c>
      <c r="R34">
        <v>0</v>
      </c>
      <c r="S34">
        <v>0</v>
      </c>
      <c r="T34" s="1">
        <f t="shared" si="1"/>
        <v>122954.21</v>
      </c>
      <c r="U34">
        <f t="shared" si="2"/>
        <v>60809.059999999983</v>
      </c>
      <c r="V34">
        <f t="shared" si="3"/>
        <v>122474.41</v>
      </c>
      <c r="W34">
        <v>210357</v>
      </c>
      <c r="X34" s="4">
        <f t="shared" si="4"/>
        <v>0.58222169930166334</v>
      </c>
      <c r="Y34">
        <v>0.47</v>
      </c>
      <c r="Z34">
        <v>0.18</v>
      </c>
      <c r="AA34">
        <v>0.2</v>
      </c>
      <c r="AB34" s="4">
        <f t="shared" si="5"/>
        <v>1.8333155449205736</v>
      </c>
      <c r="AC34">
        <v>1.43</v>
      </c>
      <c r="AD34">
        <v>0.65</v>
      </c>
      <c r="AE34">
        <v>0.64</v>
      </c>
      <c r="AF34" s="21">
        <f t="shared" si="6"/>
        <v>0.33090976232627983</v>
      </c>
      <c r="AG34" s="21">
        <v>-0.45</v>
      </c>
      <c r="AH34" s="21">
        <v>0.02</v>
      </c>
      <c r="AI34" s="21">
        <v>0.27</v>
      </c>
      <c r="AJ34" s="21">
        <v>0.28999999999999998</v>
      </c>
      <c r="AK34" s="4">
        <f>Таблица1[[#This Row],[Печалба на месец]]/Таблица1[[#This Row],[Литри]]</f>
        <v>0.289075523990169</v>
      </c>
      <c r="AL34">
        <v>-0.32456334832623485</v>
      </c>
      <c r="AM34">
        <v>-0.30834018358059906</v>
      </c>
      <c r="AN34">
        <v>0.27865063499971043</v>
      </c>
      <c r="AO34">
        <v>0.91611905718249187</v>
      </c>
      <c r="AP34" s="16">
        <v>0.79370308570667958</v>
      </c>
    </row>
    <row r="35" spans="1:42" x14ac:dyDescent="0.35">
      <c r="A35" s="2">
        <v>44470</v>
      </c>
      <c r="B35">
        <v>168163.29</v>
      </c>
      <c r="C35">
        <v>18650</v>
      </c>
      <c r="D35">
        <v>0</v>
      </c>
      <c r="E35">
        <v>0</v>
      </c>
      <c r="F35" s="1">
        <f t="shared" si="0"/>
        <v>186813.29</v>
      </c>
      <c r="G35">
        <v>5783.2199999999993</v>
      </c>
      <c r="H35">
        <v>10617.02</v>
      </c>
      <c r="I35">
        <v>226.64999999999998</v>
      </c>
      <c r="J35">
        <v>7840.93</v>
      </c>
      <c r="K35">
        <v>19471.5</v>
      </c>
      <c r="L35">
        <v>3462.67</v>
      </c>
      <c r="M35">
        <v>0</v>
      </c>
      <c r="N35">
        <v>7688.14</v>
      </c>
      <c r="O35">
        <v>3756.66</v>
      </c>
      <c r="P35">
        <v>82855.199999999997</v>
      </c>
      <c r="Q35">
        <v>0</v>
      </c>
      <c r="R35">
        <v>0</v>
      </c>
      <c r="S35">
        <v>186.2</v>
      </c>
      <c r="T35" s="1">
        <f t="shared" si="1"/>
        <v>141888.19</v>
      </c>
      <c r="U35">
        <f t="shared" si="2"/>
        <v>44925.100000000006</v>
      </c>
      <c r="V35">
        <f t="shared" si="3"/>
        <v>118727.37</v>
      </c>
      <c r="W35">
        <v>207609</v>
      </c>
      <c r="X35" s="4">
        <f t="shared" si="4"/>
        <v>0.5718796872967935</v>
      </c>
      <c r="Y35">
        <v>0.47</v>
      </c>
      <c r="Z35">
        <v>0.18</v>
      </c>
      <c r="AA35">
        <v>0.2</v>
      </c>
      <c r="AB35" s="4">
        <f t="shared" si="5"/>
        <v>2.0296045390029835</v>
      </c>
      <c r="AC35">
        <v>1.43</v>
      </c>
      <c r="AD35">
        <v>0.65</v>
      </c>
      <c r="AE35">
        <v>0.64</v>
      </c>
      <c r="AF35" s="21">
        <f t="shared" si="6"/>
        <v>0.24048128481651387</v>
      </c>
      <c r="AG35" s="21">
        <v>-0.45</v>
      </c>
      <c r="AH35" s="21">
        <v>0.02</v>
      </c>
      <c r="AI35" s="21">
        <v>0.27</v>
      </c>
      <c r="AJ35" s="21">
        <v>0.28999999999999998</v>
      </c>
      <c r="AK35" s="4">
        <f>Таблица1[[#This Row],[Печалба на месец]]/Таблица1[[#This Row],[Литри]]</f>
        <v>0.21639283460736292</v>
      </c>
      <c r="AL35">
        <v>-0.32456334832623485</v>
      </c>
      <c r="AM35">
        <v>-0.30834018358059906</v>
      </c>
      <c r="AN35">
        <v>0.27865063499971043</v>
      </c>
      <c r="AO35">
        <v>0.91611905718249187</v>
      </c>
      <c r="AP35" s="16">
        <v>0.81</v>
      </c>
    </row>
    <row r="36" spans="1:42" x14ac:dyDescent="0.35">
      <c r="A36" s="2">
        <v>44501</v>
      </c>
      <c r="B36">
        <v>168955.35</v>
      </c>
      <c r="C36">
        <v>1334.67</v>
      </c>
      <c r="D36">
        <v>0</v>
      </c>
      <c r="E36">
        <v>28523.34</v>
      </c>
      <c r="F36" s="1">
        <f t="shared" si="0"/>
        <v>198813.36000000002</v>
      </c>
      <c r="G36">
        <v>4624.8900000000003</v>
      </c>
      <c r="H36">
        <v>11643.65</v>
      </c>
      <c r="I36">
        <v>0</v>
      </c>
      <c r="J36">
        <v>7874.13</v>
      </c>
      <c r="K36">
        <v>0</v>
      </c>
      <c r="L36">
        <v>112.5</v>
      </c>
      <c r="M36">
        <v>1049.74</v>
      </c>
      <c r="N36">
        <v>7049.05</v>
      </c>
      <c r="O36">
        <v>6033.96</v>
      </c>
      <c r="P36">
        <v>118442.7</v>
      </c>
      <c r="Q36">
        <v>0</v>
      </c>
      <c r="R36">
        <v>0</v>
      </c>
      <c r="S36">
        <v>0</v>
      </c>
      <c r="T36" s="1">
        <f t="shared" si="1"/>
        <v>156830.62</v>
      </c>
      <c r="U36">
        <f t="shared" si="2"/>
        <v>41982.74000000002</v>
      </c>
      <c r="V36">
        <f t="shared" si="3"/>
        <v>155668.38</v>
      </c>
      <c r="W36">
        <v>198771</v>
      </c>
      <c r="X36" s="4">
        <f t="shared" si="4"/>
        <v>0.78315438368776136</v>
      </c>
      <c r="Y36">
        <v>0.47</v>
      </c>
      <c r="Z36">
        <v>0.18</v>
      </c>
      <c r="AA36">
        <v>0.2</v>
      </c>
      <c r="AB36" s="4">
        <f t="shared" si="5"/>
        <v>1.4264733073460838</v>
      </c>
      <c r="AC36">
        <v>1.43</v>
      </c>
      <c r="AD36">
        <v>0.65</v>
      </c>
      <c r="AE36">
        <v>0.64</v>
      </c>
      <c r="AF36" s="21">
        <f t="shared" si="6"/>
        <v>0.21116659363334545</v>
      </c>
      <c r="AG36" s="21">
        <v>-0.45</v>
      </c>
      <c r="AH36" s="21">
        <v>0.02</v>
      </c>
      <c r="AI36" s="21">
        <v>0.27</v>
      </c>
      <c r="AJ36" s="21">
        <v>0.28999999999999998</v>
      </c>
      <c r="AK36" s="4">
        <f>Таблица1[[#This Row],[Печалба на месец]]/Таблица1[[#This Row],[Литри]]</f>
        <v>0.21121159525282873</v>
      </c>
      <c r="AL36">
        <v>-0.32456334832623485</v>
      </c>
      <c r="AM36">
        <v>-0.30834018358059906</v>
      </c>
      <c r="AN36">
        <v>0.27865063499971043</v>
      </c>
      <c r="AO36">
        <v>0.91611905718249187</v>
      </c>
      <c r="AP36" s="16">
        <v>0.85</v>
      </c>
    </row>
    <row r="37" spans="1:42" x14ac:dyDescent="0.35">
      <c r="A37" s="2">
        <v>44531</v>
      </c>
      <c r="B37">
        <v>175692.45</v>
      </c>
      <c r="C37">
        <v>0</v>
      </c>
      <c r="D37">
        <v>0</v>
      </c>
      <c r="E37">
        <v>279358.28000000003</v>
      </c>
      <c r="F37" s="1">
        <f t="shared" si="0"/>
        <v>455050.73000000004</v>
      </c>
      <c r="G37">
        <v>5110.71</v>
      </c>
      <c r="H37">
        <v>13688.63</v>
      </c>
      <c r="I37">
        <v>5419.869999999999</v>
      </c>
      <c r="J37">
        <v>8068.1900000000005</v>
      </c>
      <c r="K37">
        <v>63315</v>
      </c>
      <c r="L37">
        <v>6391.420000000001</v>
      </c>
      <c r="M37">
        <v>713.5</v>
      </c>
      <c r="N37">
        <v>6996.62</v>
      </c>
      <c r="O37" s="3">
        <v>1958.08</v>
      </c>
      <c r="P37">
        <v>128525.7</v>
      </c>
      <c r="Q37">
        <v>0</v>
      </c>
      <c r="R37">
        <v>0</v>
      </c>
      <c r="S37">
        <v>0</v>
      </c>
      <c r="T37" s="1">
        <f t="shared" si="1"/>
        <v>240187.71999999997</v>
      </c>
      <c r="U37">
        <f t="shared" si="2"/>
        <v>214863.01000000007</v>
      </c>
      <c r="V37">
        <f t="shared" si="3"/>
        <v>164347.93</v>
      </c>
      <c r="W37">
        <v>206697</v>
      </c>
      <c r="X37" s="4">
        <f t="shared" si="4"/>
        <v>0.79511521696009135</v>
      </c>
      <c r="Y37">
        <v>0.47</v>
      </c>
      <c r="Z37">
        <v>0.18</v>
      </c>
      <c r="AA37">
        <v>0.2</v>
      </c>
      <c r="AB37" s="4">
        <f t="shared" si="5"/>
        <v>1.3669830236287375</v>
      </c>
      <c r="AC37">
        <v>1.43</v>
      </c>
      <c r="AD37">
        <v>0.65</v>
      </c>
      <c r="AE37">
        <v>0.64</v>
      </c>
      <c r="AF37" s="21">
        <f t="shared" si="6"/>
        <v>0.47217375082553992</v>
      </c>
      <c r="AG37" s="21">
        <v>-0.45</v>
      </c>
      <c r="AH37" s="21">
        <v>0.02</v>
      </c>
      <c r="AI37" s="21">
        <v>0.27</v>
      </c>
      <c r="AJ37" s="21">
        <v>0.28999999999999998</v>
      </c>
      <c r="AK37" s="4">
        <f>Таблица1[[#This Row],[Печалба на месец]]/Таблица1[[#This Row],[Литри]]</f>
        <v>1.0395071529823852</v>
      </c>
      <c r="AL37">
        <v>-0.32456334832623485</v>
      </c>
      <c r="AM37">
        <v>-0.30834018358059906</v>
      </c>
      <c r="AN37">
        <v>0.27865063499971043</v>
      </c>
      <c r="AO37">
        <v>0.91611905718249187</v>
      </c>
      <c r="AP37" s="16">
        <v>0.85000000000000009</v>
      </c>
    </row>
    <row r="38" spans="1:42" x14ac:dyDescent="0.35">
      <c r="A38" t="s">
        <v>94</v>
      </c>
      <c r="F38" s="1"/>
      <c r="T38" s="1"/>
      <c r="AJ38">
        <f>SUBTOTAL(109,Таблица1[Висока])</f>
        <v>10.439999999999992</v>
      </c>
    </row>
    <row r="41" spans="1:42" x14ac:dyDescent="0.35">
      <c r="AK41">
        <f>COUNT(Таблица1[[#This Row],[Печалба на месец]]/Таблица1[[#This Row],[Литри]])</f>
        <v>0</v>
      </c>
    </row>
    <row r="42" spans="1:42" x14ac:dyDescent="0.35">
      <c r="A42" s="8" t="s">
        <v>59</v>
      </c>
      <c r="B42">
        <f>COUNT(Таблица1[Приход мляко])</f>
        <v>36</v>
      </c>
      <c r="C42">
        <f>COUNT(Таблица1[Приход животни])</f>
        <v>36</v>
      </c>
      <c r="D42">
        <f>COUNT(Таблица1[Приходи телета])</f>
        <v>36</v>
      </c>
      <c r="E42">
        <f>COUNT(Таблица1[Субсидия])</f>
        <v>36</v>
      </c>
      <c r="F42">
        <f>COUNT(Таблица1[Общи приходи])</f>
        <v>36</v>
      </c>
      <c r="G42">
        <f>COUNT(Таблица1[Разходи лекарства])</f>
        <v>36</v>
      </c>
      <c r="H42">
        <f>COUNT(Таблица1[Ел енергия])</f>
        <v>36</v>
      </c>
      <c r="I42">
        <f>COUNT(Таблица1[Застраховки])</f>
        <v>36</v>
      </c>
      <c r="J42">
        <f>COUNT(Таблица1[Заплати + осигуровки])</f>
        <v>36</v>
      </c>
      <c r="K42">
        <f>COUNT(Таблица1[Кредити])</f>
        <v>36</v>
      </c>
      <c r="L42">
        <f>COUNT(Таблица1[Лихви кредити])</f>
        <v>36</v>
      </c>
      <c r="M42">
        <f>COUNT(Таблица1[Лизингови договори])</f>
        <v>36</v>
      </c>
      <c r="N42">
        <f>COUNT(Таблица1[Гориво])</f>
        <v>36</v>
      </c>
      <c r="O42">
        <f>COUNT(Таблица1[Ремонт])</f>
        <v>36</v>
      </c>
      <c r="P42">
        <f>COUNT(Таблица1[Фуражи])</f>
        <v>36</v>
      </c>
      <c r="Q42">
        <f>COUNT(Таблица1[Семенна течност])</f>
        <v>36</v>
      </c>
      <c r="R42">
        <f>COUNT(Таблица1[Ушни марки])</f>
        <v>36</v>
      </c>
      <c r="S42">
        <f>COUNT(Таблица1[Други])</f>
        <v>36</v>
      </c>
      <c r="T42">
        <f>COUNT(Таблица1[Общи разходи])</f>
        <v>36</v>
      </c>
      <c r="U42">
        <f>COUNT(Таблица1[Печалба на месец])</f>
        <v>36</v>
      </c>
      <c r="V42">
        <f>COUNT(Таблица1[Производствени разходи])</f>
        <v>36</v>
      </c>
      <c r="W42">
        <f>COUNT(Таблица1[Литри])</f>
        <v>36</v>
      </c>
      <c r="X42">
        <f>COUNT(Таблица1[Произ. разходи/литър])</f>
        <v>36</v>
      </c>
      <c r="Y42">
        <f>COUNT(Таблица1[Нисък])</f>
        <v>36</v>
      </c>
      <c r="Z42">
        <f>COUNT(Таблица1[Среден])</f>
        <v>36</v>
      </c>
      <c r="AA42">
        <f>COUNT(Таблица1[Висок])</f>
        <v>36</v>
      </c>
      <c r="AB42">
        <f>COUNT(Таблица1[Мляко/Фураж])</f>
        <v>36</v>
      </c>
      <c r="AC42">
        <f>COUNT(Таблица1[Намален])</f>
        <v>36</v>
      </c>
      <c r="AD42">
        <f>COUNT(Таблица1[Устойчив])</f>
        <v>36</v>
      </c>
      <c r="AE42">
        <f>COUNT(Таблица1[Повишен])</f>
        <v>36</v>
      </c>
      <c r="AF42">
        <f>COUNT(Таблица1[Печалба/приход])</f>
        <v>36</v>
      </c>
      <c r="AG42">
        <f>COUNT(Таблица1[Загуби])</f>
        <v>36</v>
      </c>
      <c r="AH42">
        <f>COUNT(Таблица1[Ниска])</f>
        <v>36</v>
      </c>
      <c r="AI42">
        <f>COUNT(Таблица1[Средна])</f>
        <v>36</v>
      </c>
      <c r="AJ42">
        <f>COUNT(Таблица1[Висока])</f>
        <v>36</v>
      </c>
    </row>
    <row r="43" spans="1:42" x14ac:dyDescent="0.35">
      <c r="A43" s="8" t="s">
        <v>60</v>
      </c>
      <c r="B43">
        <f>SKEW(Таблица1[Приход мляко])</f>
        <v>-1.0609210490936751</v>
      </c>
      <c r="C43">
        <f>SKEW(Таблица1[Приход животни])</f>
        <v>2.1390181125752865</v>
      </c>
      <c r="D43">
        <f>SKEW(Таблица1[Приходи телета])</f>
        <v>2.6761713231848665</v>
      </c>
      <c r="E43">
        <f>SKEW(Таблица1[Субсидия])</f>
        <v>2.7641005707128343</v>
      </c>
      <c r="F43">
        <f>SKEW(Таблица1[Общи приходи])</f>
        <v>1.6435872716499427</v>
      </c>
      <c r="G43">
        <f>SKEW(Таблица1[Разходи лекарства])</f>
        <v>1.3269691689290906</v>
      </c>
      <c r="H43">
        <f>SKEW(Таблица1[Ел енергия])</f>
        <v>2.0064635269601343</v>
      </c>
      <c r="I43">
        <f>SKEW(Таблица1[Застраховки])</f>
        <v>1.515104315386949</v>
      </c>
      <c r="J43">
        <f>SKEW(Таблица1[Заплати + осигуровки])</f>
        <v>-0.68040944797548619</v>
      </c>
      <c r="K43">
        <f>SKEW(Таблица1[Кредити])</f>
        <v>0.56632006127228518</v>
      </c>
      <c r="L43">
        <f>SKEW(Таблица1[Лихви кредити])</f>
        <v>0.36469648933679288</v>
      </c>
      <c r="M43">
        <f>SKEW(Таблица1[Лизингови договори])</f>
        <v>2.8679687866012817</v>
      </c>
      <c r="N43">
        <f>SKEW(Таблица1[Гориво])</f>
        <v>0.69630953499887738</v>
      </c>
      <c r="O43">
        <f>SKEW(Таблица1[Ремонт])</f>
        <v>1.3259464352541146</v>
      </c>
      <c r="P43">
        <f>SKEW(Таблица1[Фуражи])</f>
        <v>-0.11134873916925504</v>
      </c>
      <c r="Q43">
        <f>SKEW(Таблица1[Семенна течност])</f>
        <v>3.0648774910247703</v>
      </c>
      <c r="R43">
        <f>SKEW(Таблица1[Ушни марки])</f>
        <v>2.9504265138490102</v>
      </c>
      <c r="S43">
        <f>SKEW(Таблица1[Други])</f>
        <v>3.5988190831452345</v>
      </c>
      <c r="T43">
        <f>SKEW(Таблица1[Общи разходи])</f>
        <v>0.17109161962718228</v>
      </c>
      <c r="U43">
        <f>SKEW(Таблица1[Печалба на месец])</f>
        <v>1.6923033811221382</v>
      </c>
      <c r="V43">
        <f>SKEW(Таблица1[Производствени разходи])</f>
        <v>-0.34297748639458886</v>
      </c>
      <c r="W43">
        <f>SKEW(Таблица1[Литри])</f>
        <v>-0.80922676630104373</v>
      </c>
      <c r="X43">
        <f>SKEW(Таблица1[Произ. разходи/литър])</f>
        <v>0.24010461822140095</v>
      </c>
      <c r="Y43">
        <f>SKEW(Таблица1[Нисък])</f>
        <v>-1.0440140793705206</v>
      </c>
      <c r="Z43">
        <f>SKEW(Таблица1[Среден])</f>
        <v>1.0440140793705206</v>
      </c>
      <c r="AA43">
        <f>SKEW(Таблица1[Висок])</f>
        <v>-1.0440140793705206</v>
      </c>
      <c r="AB43">
        <f>SKEW(Таблица1[Мляко/Фураж])</f>
        <v>0.56736986310106774</v>
      </c>
      <c r="AC43" t="e">
        <f>SKEW(Таблица1[Намален])</f>
        <v>#DIV/0!</v>
      </c>
      <c r="AD43">
        <f>SKEW(Таблица1[Устойчив])</f>
        <v>1.0440140793705206</v>
      </c>
      <c r="AE43">
        <f>SKEW(Таблица1[Повишен])</f>
        <v>-1.0440140793705206</v>
      </c>
    </row>
    <row r="44" spans="1:42" x14ac:dyDescent="0.35">
      <c r="A44" s="8" t="s">
        <v>61</v>
      </c>
      <c r="B44">
        <f>KURT(Таблица1[Приход мляко])</f>
        <v>1.1290510264818883</v>
      </c>
      <c r="C44">
        <f>KURT(Таблица1[Приход животни])</f>
        <v>4.0096333520353324</v>
      </c>
      <c r="D44">
        <f>KURT(Таблица1[Приходи телета])</f>
        <v>5.6225686816316944</v>
      </c>
      <c r="E44">
        <f>KURT(Таблица1[Субсидия])</f>
        <v>7.6514848933798838</v>
      </c>
      <c r="F44">
        <f>KURT(Таблица1[Общи приходи])</f>
        <v>3.9452250750322397</v>
      </c>
      <c r="G44">
        <f>KURT(Таблица1[Разходи лекарства])</f>
        <v>1.9492319769941551</v>
      </c>
      <c r="H44">
        <f>KURT(Таблица1[Ел енергия])</f>
        <v>4.4657161083830559</v>
      </c>
      <c r="I44">
        <f>KURT(Таблица1[Застраховки])</f>
        <v>1.2925551016472188</v>
      </c>
      <c r="J44">
        <f>KURT(Таблица1[Заплати + осигуровки])</f>
        <v>-1.2172783999712111</v>
      </c>
      <c r="K44">
        <f>KURT(Таблица1[Кредити])</f>
        <v>0.32839199076027192</v>
      </c>
      <c r="L44">
        <f>KURT(Таблица1[Лихви кредити])</f>
        <v>-1.156376952533456</v>
      </c>
      <c r="M44">
        <f>KURT(Таблица1[Лизингови договори])</f>
        <v>9.9922898128093376</v>
      </c>
      <c r="N44">
        <f>KURT(Таблица1[Гориво])</f>
        <v>-0.92234380983822328</v>
      </c>
      <c r="O44">
        <f>KURT(Таблица1[Ремонт])</f>
        <v>3.5526268132027958</v>
      </c>
      <c r="P44">
        <f>KURT(Таблица1[Фуражи])</f>
        <v>-0.85230466396532778</v>
      </c>
      <c r="Q44">
        <f>KURT(Таблица1[Семенна течност])</f>
        <v>13.622036708774386</v>
      </c>
      <c r="R44">
        <f>KURT(Таблица1[Ушни марки])</f>
        <v>9.1778947247871301</v>
      </c>
      <c r="S44">
        <f>KURT(Таблица1[Други])</f>
        <v>12.815550756922315</v>
      </c>
      <c r="T44">
        <f>KURT(Таблица1[Общи разходи])</f>
        <v>-0.71374768132768684</v>
      </c>
      <c r="U44">
        <f>KURT(Таблица1[Печалба на месец])</f>
        <v>3.8834042360760153</v>
      </c>
      <c r="V44">
        <f>KURT(Таблица1[Производствени разходи])</f>
        <v>-1.0458701833795034</v>
      </c>
      <c r="W44">
        <f>KURT(Таблица1[Литри])</f>
        <v>1.1500353118810951</v>
      </c>
      <c r="X44">
        <f>KURT(Таблица1[Произ. разходи/литър])</f>
        <v>-0.21929897587746039</v>
      </c>
      <c r="Y44">
        <f>KURT(Таблица1[Нисък])</f>
        <v>-2.121212121212122</v>
      </c>
      <c r="Z44">
        <f>KURT(Таблица1[Среден])</f>
        <v>-2.121212121212122</v>
      </c>
      <c r="AA44">
        <f>KURT(Таблица1[Висок])</f>
        <v>-2.121212121212122</v>
      </c>
      <c r="AB44">
        <f>KURT(Таблица1[Мляко/Фураж])</f>
        <v>-1.0354870792999016E-3</v>
      </c>
      <c r="AC44" t="e">
        <f>KURT(Таблица1[Намален])</f>
        <v>#DIV/0!</v>
      </c>
      <c r="AD44">
        <f>KURT(Таблица1[Устойчив])</f>
        <v>-2.121212121212122</v>
      </c>
      <c r="AE44">
        <f>KURT(Таблица1[Повишен])</f>
        <v>-2.121212121212122</v>
      </c>
    </row>
    <row r="45" spans="1:42" x14ac:dyDescent="0.35">
      <c r="A45" s="8"/>
    </row>
    <row r="46" spans="1:42" x14ac:dyDescent="0.35">
      <c r="A46" s="8"/>
      <c r="AK46">
        <f t="shared" ref="C46:AK47" si="7">(AK41/6)*(AK42^2+(AK43^2)/4)</f>
        <v>0</v>
      </c>
    </row>
    <row r="47" spans="1:42" x14ac:dyDescent="0.35">
      <c r="A47" s="8" t="s">
        <v>62</v>
      </c>
      <c r="B47">
        <f>(B42/6)*(B43^2+(B44^2)/4)</f>
        <v>8.6654551650598535</v>
      </c>
      <c r="C47">
        <f t="shared" si="7"/>
        <v>51.568130342181988</v>
      </c>
      <c r="D47">
        <f t="shared" si="7"/>
        <v>90.391275575720599</v>
      </c>
      <c r="E47">
        <f t="shared" si="7"/>
        <v>133.65934340052095</v>
      </c>
      <c r="F47">
        <f t="shared" si="7"/>
        <v>39.555476056172928</v>
      </c>
      <c r="G47">
        <f t="shared" si="7"/>
        <v>16.26434100193498</v>
      </c>
      <c r="H47">
        <f t="shared" si="7"/>
        <v>54.069305851135667</v>
      </c>
      <c r="I47">
        <f t="shared" si="7"/>
        <v>16.27929455521631</v>
      </c>
      <c r="J47">
        <f t="shared" si="7"/>
        <v>5.0003921559205429</v>
      </c>
      <c r="K47">
        <f t="shared" si="7"/>
        <v>2.0860724201899106</v>
      </c>
      <c r="L47">
        <f t="shared" si="7"/>
        <v>2.8038326605333328</v>
      </c>
      <c r="M47">
        <f t="shared" si="7"/>
        <v>199.12025332027525</v>
      </c>
      <c r="N47">
        <f t="shared" si="7"/>
        <v>4.18515896650245</v>
      </c>
      <c r="O47">
        <f t="shared" si="7"/>
        <v>29.480539605809746</v>
      </c>
      <c r="P47">
        <f t="shared" si="7"/>
        <v>1.1640261106130723</v>
      </c>
      <c r="Q47">
        <f t="shared" si="7"/>
        <v>334.70067035273712</v>
      </c>
      <c r="R47">
        <f t="shared" si="7"/>
        <v>178.58072705065248</v>
      </c>
      <c r="S47">
        <f t="shared" si="7"/>
        <v>324.06650456414002</v>
      </c>
      <c r="T47">
        <f t="shared" si="7"/>
        <v>0.93978768274088842</v>
      </c>
      <c r="U47">
        <f t="shared" si="7"/>
        <v>39.804587093704235</v>
      </c>
      <c r="V47">
        <f t="shared" si="7"/>
        <v>2.3465679977647165</v>
      </c>
      <c r="W47">
        <f t="shared" si="7"/>
        <v>5.9129595836484361</v>
      </c>
      <c r="X47">
        <f t="shared" si="7"/>
        <v>0.4180394273788226</v>
      </c>
      <c r="Y47">
        <f t="shared" si="7"/>
        <v>13.289103682309099</v>
      </c>
      <c r="Z47">
        <f t="shared" si="7"/>
        <v>13.289103682309099</v>
      </c>
      <c r="AA47">
        <f t="shared" si="7"/>
        <v>13.289103682309099</v>
      </c>
      <c r="AB47">
        <f t="shared" si="7"/>
        <v>1.9314529776821829</v>
      </c>
      <c r="AC47" t="e">
        <f t="shared" si="7"/>
        <v>#DIV/0!</v>
      </c>
      <c r="AD47">
        <f t="shared" si="7"/>
        <v>13.289103682309099</v>
      </c>
      <c r="AE47">
        <f t="shared" si="7"/>
        <v>13.289103682309099</v>
      </c>
      <c r="AF47">
        <f t="shared" si="7"/>
        <v>0</v>
      </c>
      <c r="AG47">
        <f t="shared" si="7"/>
        <v>0</v>
      </c>
      <c r="AH47">
        <f t="shared" si="7"/>
        <v>0</v>
      </c>
      <c r="AI47">
        <f t="shared" si="7"/>
        <v>0</v>
      </c>
      <c r="AJ47">
        <f t="shared" si="7"/>
        <v>0</v>
      </c>
    </row>
    <row r="48" spans="1:42" x14ac:dyDescent="0.35">
      <c r="A48" s="8" t="s">
        <v>63</v>
      </c>
      <c r="B48">
        <f>_xlfn.CHISQ.DIST.RT(B47,2)</f>
        <v>1.3131680854424675E-2</v>
      </c>
      <c r="C48">
        <f t="shared" ref="C48:W48" si="8">_xlfn.CHISQ.DIST.RT(C47,2)</f>
        <v>6.3404893171842052E-12</v>
      </c>
      <c r="D48">
        <f t="shared" si="8"/>
        <v>2.3538777439064978E-20</v>
      </c>
      <c r="E48">
        <f t="shared" si="8"/>
        <v>9.4676534577460171E-30</v>
      </c>
      <c r="F48">
        <f t="shared" si="8"/>
        <v>2.5741716907175902E-9</v>
      </c>
      <c r="G48">
        <f t="shared" si="8"/>
        <v>2.9392953360558128E-4</v>
      </c>
      <c r="H48">
        <f t="shared" si="8"/>
        <v>1.8155132141438911E-12</v>
      </c>
      <c r="I48">
        <f t="shared" si="8"/>
        <v>2.9174008334956154E-4</v>
      </c>
      <c r="J48">
        <f t="shared" si="8"/>
        <v>8.2068905142639786E-2</v>
      </c>
      <c r="K48">
        <f t="shared" si="8"/>
        <v>0.35238314681139199</v>
      </c>
      <c r="L48">
        <f t="shared" si="8"/>
        <v>0.24612485521853264</v>
      </c>
      <c r="M48">
        <f t="shared" si="8"/>
        <v>5.7754572548382192E-44</v>
      </c>
      <c r="N48">
        <f t="shared" si="8"/>
        <v>0.12336849805927946</v>
      </c>
      <c r="O48">
        <f t="shared" si="8"/>
        <v>3.966268975133441E-7</v>
      </c>
      <c r="P48">
        <f t="shared" si="8"/>
        <v>0.55877239389034106</v>
      </c>
      <c r="Q48">
        <f t="shared" si="8"/>
        <v>2.0925357586515123E-73</v>
      </c>
      <c r="R48">
        <f t="shared" si="8"/>
        <v>1.6660492438507802E-39</v>
      </c>
      <c r="S48">
        <f t="shared" si="8"/>
        <v>4.264348100064843E-71</v>
      </c>
      <c r="T48">
        <f t="shared" si="8"/>
        <v>0.62506862118887541</v>
      </c>
      <c r="U48">
        <f t="shared" si="8"/>
        <v>2.2727084955877124E-9</v>
      </c>
      <c r="V48">
        <f t="shared" si="8"/>
        <v>0.30934936834592719</v>
      </c>
      <c r="W48">
        <f t="shared" si="8"/>
        <v>5.2001651992218144E-2</v>
      </c>
      <c r="X48">
        <f t="shared" ref="X48:AE48" si="9">_xlfn.CHISQ.DIST.RT(X47,2)</f>
        <v>0.81137924020741115</v>
      </c>
      <c r="Y48">
        <f t="shared" si="9"/>
        <v>1.3010913832339462E-3</v>
      </c>
      <c r="Z48">
        <f t="shared" si="9"/>
        <v>1.3010913832339462E-3</v>
      </c>
      <c r="AA48">
        <f t="shared" si="9"/>
        <v>1.3010913832339462E-3</v>
      </c>
      <c r="AB48">
        <f t="shared" si="9"/>
        <v>0.38070652021054735</v>
      </c>
      <c r="AC48" t="e">
        <f t="shared" si="9"/>
        <v>#DIV/0!</v>
      </c>
      <c r="AD48">
        <f t="shared" si="9"/>
        <v>1.3010913832339462E-3</v>
      </c>
      <c r="AE48">
        <f t="shared" si="9"/>
        <v>1.3010913832339462E-3</v>
      </c>
    </row>
    <row r="49" spans="1:37" x14ac:dyDescent="0.35">
      <c r="A49" s="8" t="s">
        <v>64</v>
      </c>
      <c r="B49" t="str">
        <f>IF(B48&lt;0.05,"Reject","Accept")</f>
        <v>Reject</v>
      </c>
      <c r="C49" t="str">
        <f t="shared" ref="C49:W49" si="10">IF(C48&lt;0.05,"Reject","Accept")</f>
        <v>Reject</v>
      </c>
      <c r="D49" t="str">
        <f t="shared" si="10"/>
        <v>Reject</v>
      </c>
      <c r="E49" t="str">
        <f t="shared" si="10"/>
        <v>Reject</v>
      </c>
      <c r="F49" t="str">
        <f t="shared" si="10"/>
        <v>Reject</v>
      </c>
      <c r="G49" t="str">
        <f t="shared" si="10"/>
        <v>Reject</v>
      </c>
      <c r="H49" t="str">
        <f t="shared" si="10"/>
        <v>Reject</v>
      </c>
      <c r="I49" t="str">
        <f t="shared" si="10"/>
        <v>Reject</v>
      </c>
      <c r="J49" t="str">
        <f t="shared" si="10"/>
        <v>Accept</v>
      </c>
      <c r="K49" t="str">
        <f t="shared" si="10"/>
        <v>Accept</v>
      </c>
      <c r="L49" t="str">
        <f t="shared" si="10"/>
        <v>Accept</v>
      </c>
      <c r="M49" t="str">
        <f t="shared" si="10"/>
        <v>Reject</v>
      </c>
      <c r="N49" t="str">
        <f t="shared" si="10"/>
        <v>Accept</v>
      </c>
      <c r="O49" t="str">
        <f t="shared" si="10"/>
        <v>Reject</v>
      </c>
      <c r="P49" t="str">
        <f t="shared" si="10"/>
        <v>Accept</v>
      </c>
      <c r="Q49" t="str">
        <f t="shared" si="10"/>
        <v>Reject</v>
      </c>
      <c r="R49" t="str">
        <f t="shared" si="10"/>
        <v>Reject</v>
      </c>
      <c r="S49" t="str">
        <f t="shared" si="10"/>
        <v>Reject</v>
      </c>
      <c r="T49" t="str">
        <f t="shared" si="10"/>
        <v>Accept</v>
      </c>
      <c r="U49" t="str">
        <f t="shared" si="10"/>
        <v>Reject</v>
      </c>
      <c r="V49" t="str">
        <f t="shared" si="10"/>
        <v>Accept</v>
      </c>
      <c r="W49" t="str">
        <f t="shared" si="10"/>
        <v>Accept</v>
      </c>
      <c r="X49" t="str">
        <f t="shared" ref="X49:AE49" si="11">IF(X48&lt;0.05,"Reject","Accept")</f>
        <v>Accept</v>
      </c>
      <c r="Y49" t="str">
        <f t="shared" si="11"/>
        <v>Reject</v>
      </c>
      <c r="Z49" t="str">
        <f t="shared" si="11"/>
        <v>Reject</v>
      </c>
      <c r="AA49" t="str">
        <f t="shared" si="11"/>
        <v>Reject</v>
      </c>
      <c r="AB49" t="str">
        <f t="shared" si="11"/>
        <v>Accept</v>
      </c>
      <c r="AC49" t="e">
        <f t="shared" si="11"/>
        <v>#DIV/0!</v>
      </c>
      <c r="AD49" t="str">
        <f t="shared" si="11"/>
        <v>Reject</v>
      </c>
      <c r="AE49" t="str">
        <f t="shared" si="11"/>
        <v>Reject</v>
      </c>
    </row>
    <row r="50" spans="1:37" x14ac:dyDescent="0.35">
      <c r="A50" s="8" t="s">
        <v>65</v>
      </c>
    </row>
    <row r="51" spans="1:37" x14ac:dyDescent="0.35">
      <c r="AK51">
        <f>_xlfn.PERCENTILE.INC(Таблица1[],$A$52)</f>
        <v>0</v>
      </c>
    </row>
    <row r="52" spans="1:37" x14ac:dyDescent="0.35">
      <c r="A52" s="9">
        <v>0.1</v>
      </c>
      <c r="B52">
        <f>_xlfn.PERCENTILE.INC(Таблица1[Приход мляко],$A$52)</f>
        <v>124072.93</v>
      </c>
      <c r="C52">
        <f>_xlfn.PERCENTILE.INC(Таблица1[Приход животни],$A$52)</f>
        <v>0</v>
      </c>
      <c r="D52">
        <f>_xlfn.PERCENTILE.INC(Таблица1[Приходи телета],$A$52)</f>
        <v>0</v>
      </c>
      <c r="E52">
        <f>_xlfn.PERCENTILE.INC(Таблица1[Субсидия],$A$52)</f>
        <v>0</v>
      </c>
      <c r="F52">
        <f>_xlfn.PERCENTILE.INC(Таблица1[Общи приходи],$A$52)</f>
        <v>134778.80499999999</v>
      </c>
      <c r="G52">
        <f>_xlfn.PERCENTILE.INC(Таблица1[Разходи лекарства],$A$52)</f>
        <v>841.78</v>
      </c>
      <c r="H52">
        <f>_xlfn.PERCENTILE.INC(Таблица1[Ел енергия],$A$52)</f>
        <v>3743.08</v>
      </c>
      <c r="I52">
        <f>_xlfn.PERCENTILE.INC(Таблица1[Застраховки],$A$52)</f>
        <v>0</v>
      </c>
      <c r="J52">
        <f>_xlfn.PERCENTILE.INC(Таблица1[Заплати + осигуровки],$A$52)</f>
        <v>3289.9399999999996</v>
      </c>
      <c r="K52">
        <f>_xlfn.PERCENTILE.INC(Таблица1[Кредити],$A$52)</f>
        <v>2375</v>
      </c>
      <c r="L52">
        <f>_xlfn.PERCENTILE.INC(Таблица1[Лихви кредити],$A$52)</f>
        <v>724.53</v>
      </c>
      <c r="M52">
        <f>_xlfn.PERCENTILE.INC(Таблица1[Лизингови договори],$A$52)</f>
        <v>1381.77</v>
      </c>
      <c r="N52">
        <f>_xlfn.PERCENTILE.INC(Таблица1[Гориво],$A$52)</f>
        <v>3714.5550000000003</v>
      </c>
      <c r="O52">
        <f>_xlfn.PERCENTILE.INC(Таблица1[Ремонт],$A$52)</f>
        <v>1649.75</v>
      </c>
      <c r="P52">
        <f>_xlfn.PERCENTILE.INC(Таблица1[Фуражи],$A$52)</f>
        <v>58503.305</v>
      </c>
      <c r="Q52">
        <f>_xlfn.PERCENTILE.INC(Таблица1[Семенна течност],$A$52)</f>
        <v>0</v>
      </c>
      <c r="R52">
        <f>_xlfn.PERCENTILE.INC(Таблица1[Ушни марки],$A$52)</f>
        <v>0</v>
      </c>
      <c r="S52">
        <f>_xlfn.PERCENTILE.INC(Таблица1[Други],$A$52)</f>
        <v>0</v>
      </c>
      <c r="T52">
        <f>_xlfn.PERCENTILE.INC(Таблица1[Общи разходи],$A$52)</f>
        <v>109380.93500000001</v>
      </c>
      <c r="U52">
        <f>_xlfn.PERCENTILE.INC(Таблица1[Печалба на месец],$A$52)</f>
        <v>-10695.160000000003</v>
      </c>
      <c r="V52">
        <f>_xlfn.PERCENTILE.INC(Таблица1[Производствени разходи],$A$52)</f>
        <v>75034.400000000009</v>
      </c>
      <c r="W52">
        <f>_xlfn.PERCENTILE.INC(Таблица1[Литри],$A$52)</f>
        <v>180133</v>
      </c>
      <c r="X52">
        <f>_xlfn.PERCENTILE.INC(Таблица1[Произ. разходи/литър],$A$52)</f>
        <v>0.38587694830596575</v>
      </c>
      <c r="Y52">
        <f>_xlfn.PERCENTILE.INC(Таблица1[Нисък],$A$52)</f>
        <v>0.47</v>
      </c>
      <c r="Z52">
        <f>_xlfn.PERCENTILE.INC(Таблица1[Среден],$A$52)</f>
        <v>0.18</v>
      </c>
      <c r="AA52">
        <f>_xlfn.PERCENTILE.INC(Таблица1[Висок],$A$52)</f>
        <v>0.2</v>
      </c>
      <c r="AB52">
        <f>_xlfn.PERCENTILE.INC(Таблица1[Мляко/Фураж],$A$52)</f>
        <v>1.3718779990839169</v>
      </c>
      <c r="AC52">
        <f>_xlfn.PERCENTILE.INC(Таблица1[Намален],$A$52)</f>
        <v>1.43</v>
      </c>
      <c r="AD52">
        <f>_xlfn.PERCENTILE.INC(Таблица1[Устойчив],$A$52)</f>
        <v>0.65</v>
      </c>
      <c r="AE52">
        <f>_xlfn.PERCENTILE.INC(Таблица1[Повишен],$A$52)</f>
        <v>0.64</v>
      </c>
      <c r="AF52">
        <f>_xlfn.PERCENTILE.INC(Таблица1[Печалба/приход],$A$52)</f>
        <v>-7.4801170778221363E-2</v>
      </c>
      <c r="AG52">
        <f>_xlfn.PERCENTILE.INC(Таблица1[Загуби],$A$52)</f>
        <v>-0.45</v>
      </c>
      <c r="AH52">
        <f>_xlfn.PERCENTILE.INC(Таблица1[Ниска],$A$52)</f>
        <v>0.02</v>
      </c>
      <c r="AI52">
        <f>_xlfn.PERCENTILE.INC(Таблица1[Средна],$A$52)</f>
        <v>0.27</v>
      </c>
      <c r="AJ52">
        <f>_xlfn.PERCENTILE.INC(Таблица1[Висока],$A$52)</f>
        <v>0.28999999999999998</v>
      </c>
      <c r="AK52" s="3">
        <f>_xlfn.PERCENTILE.INC(Таблица1[Приход мляко],$A$53)</f>
        <v>170894.995</v>
      </c>
    </row>
    <row r="53" spans="1:37" x14ac:dyDescent="0.35">
      <c r="A53" s="9">
        <v>0.5</v>
      </c>
      <c r="B53">
        <f>_xlfn.PERCENTILE.INC(Таблица1[Приход мляко],$A$53)</f>
        <v>170894.995</v>
      </c>
      <c r="C53">
        <f>_xlfn.PERCENTILE.INC(Таблица1[Приход животни],$A$53)</f>
        <v>0</v>
      </c>
      <c r="D53">
        <f>_xlfn.PERCENTILE.INC(Таблица1[Приходи телета],$A$53)</f>
        <v>0</v>
      </c>
      <c r="E53">
        <f>_xlfn.PERCENTILE.INC(Таблица1[Субсидия],$A$53)</f>
        <v>4936.26</v>
      </c>
      <c r="F53">
        <f>_xlfn.PERCENTILE.INC(Таблица1[Общи приходи],$A$53)</f>
        <v>191410.09</v>
      </c>
      <c r="G53">
        <f>_xlfn.PERCENTILE.INC(Таблица1[Разходи лекарства],$A$53)</f>
        <v>2227.3450000000003</v>
      </c>
      <c r="H53">
        <f>_xlfn.PERCENTILE.INC(Таблица1[Ел енергия],$A$53)</f>
        <v>5338.07</v>
      </c>
      <c r="I53">
        <f>_xlfn.PERCENTILE.INC(Таблица1[Застраховки],$A$53)</f>
        <v>494.08</v>
      </c>
      <c r="J53">
        <f>_xlfn.PERCENTILE.INC(Таблица1[Заплати + осигуровки],$A$53)</f>
        <v>7971.16</v>
      </c>
      <c r="K53">
        <f>_xlfn.PERCENTILE.INC(Таблица1[Кредити],$A$53)</f>
        <v>23829.23</v>
      </c>
      <c r="L53">
        <f>_xlfn.PERCENTILE.INC(Таблица1[Лихви кредити],$A$53)</f>
        <v>5349.8050000000003</v>
      </c>
      <c r="M53">
        <f>_xlfn.PERCENTILE.INC(Таблица1[Лизингови договори],$A$53)</f>
        <v>2601.8850000000002</v>
      </c>
      <c r="N53">
        <f>_xlfn.PERCENTILE.INC(Таблица1[Гориво],$A$53)</f>
        <v>4564.8150000000005</v>
      </c>
      <c r="O53">
        <f>_xlfn.PERCENTILE.INC(Таблица1[Ремонт],$A$53)</f>
        <v>3543.1</v>
      </c>
      <c r="P53">
        <f>_xlfn.PERCENTILE.INC(Таблица1[Фуражи],$A$53)</f>
        <v>101639.30499999999</v>
      </c>
      <c r="Q53">
        <f>_xlfn.PERCENTILE.INC(Таблица1[Семенна течност],$A$53)</f>
        <v>981.3</v>
      </c>
      <c r="R53">
        <f>_xlfn.PERCENTILE.INC(Таблица1[Ушни марки],$A$53)</f>
        <v>0</v>
      </c>
      <c r="S53">
        <f>_xlfn.PERCENTILE.INC(Таблица1[Други],$A$53)</f>
        <v>178.1</v>
      </c>
      <c r="T53">
        <f>_xlfn.PERCENTILE.INC(Таблица1[Общи разходи],$A$53)</f>
        <v>156522.25</v>
      </c>
      <c r="U53">
        <f>_xlfn.PERCENTILE.INC(Таблица1[Печалба на месец],$A$53)</f>
        <v>29409.380000000019</v>
      </c>
      <c r="V53">
        <f>_xlfn.PERCENTILE.INC(Таблица1[Производствени разходи],$A$53)</f>
        <v>134496.85999999999</v>
      </c>
      <c r="W53">
        <f>_xlfn.PERCENTILE.INC(Таблица1[Литри],$A$53)</f>
        <v>215245</v>
      </c>
      <c r="X53">
        <f>_xlfn.PERCENTILE.INC(Таблица1[Произ. разходи/литър],$A$53)</f>
        <v>0.55671361791250384</v>
      </c>
      <c r="Y53">
        <f>_xlfn.PERCENTILE.INC(Таблица1[Нисък],$A$53)</f>
        <v>0.47</v>
      </c>
      <c r="Z53">
        <f>_xlfn.PERCENTILE.INC(Таблица1[Среден],$A$53)</f>
        <v>0.18</v>
      </c>
      <c r="AA53">
        <f>_xlfn.PERCENTILE.INC(Таблица1[Висок],$A$53)</f>
        <v>0.2</v>
      </c>
      <c r="AB53" s="3">
        <f>_xlfn.PERCENTILE.INC(Таблица1[Мляко/Фураж],$A$53)</f>
        <v>1.7276686251709061</v>
      </c>
      <c r="AC53" s="3">
        <f>_xlfn.PERCENTILE.INC(Таблица1[Намален],$A$53)</f>
        <v>1.43</v>
      </c>
      <c r="AD53" s="3">
        <f>_xlfn.PERCENTILE.INC(Таблица1[Устойчив],$A$53)</f>
        <v>0.65</v>
      </c>
      <c r="AE53" s="3">
        <f>_xlfn.PERCENTILE.INC(Таблица1[Повишен],$A$53)</f>
        <v>0.64</v>
      </c>
      <c r="AF53" s="3">
        <f>_xlfn.PERCENTILE.INC(Таблица1[Печалба/приход],$A$53)</f>
        <v>0.14901611143914489</v>
      </c>
      <c r="AG53" s="3">
        <f>_xlfn.PERCENTILE.INC(Таблица1[Загуби],$A$53)</f>
        <v>-0.45</v>
      </c>
      <c r="AH53" s="3">
        <f>_xlfn.PERCENTILE.INC(Таблица1[Ниска],$A$53)</f>
        <v>0.02</v>
      </c>
      <c r="AI53" s="3">
        <f>_xlfn.PERCENTILE.INC(Таблица1[Средна],$A$53)</f>
        <v>0.27</v>
      </c>
      <c r="AJ53" s="3">
        <f>_xlfn.PERCENTILE.INC(Таблица1[Висока],$A$53)</f>
        <v>0.28999999999999998</v>
      </c>
    </row>
    <row r="54" spans="1:37" x14ac:dyDescent="0.35">
      <c r="A54" s="9">
        <v>0.95</v>
      </c>
      <c r="B54">
        <f>_xlfn.PERCENTILE.INC(Таблица1[Приход мляко],$A$54)</f>
        <v>201376.32750000001</v>
      </c>
      <c r="C54">
        <f>_xlfn.PERCENTILE.INC(Таблица1[Приход животни],$A$54)</f>
        <v>15713.75</v>
      </c>
      <c r="D54">
        <f>_xlfn.PERCENTILE.INC(Таблица1[Приходи телета],$A$54)</f>
        <v>1967</v>
      </c>
      <c r="E54">
        <f>_xlfn.PERCENTILE.INC(Таблица1[Субсидия],$A$54)</f>
        <v>156554.82250000001</v>
      </c>
      <c r="F54">
        <f>_xlfn.PERCENTILE.INC(Таблица1[Общи приходи],$A$54)</f>
        <v>334617.13750000001</v>
      </c>
      <c r="G54">
        <f>_xlfn.PERCENTILE.INC(Таблица1[Разходи лекарства],$A$54)</f>
        <v>5988.7274999999991</v>
      </c>
      <c r="H54">
        <f>_xlfn.PERCENTILE.INC(Таблица1[Ел енергия],$A$54)</f>
        <v>10873.6775</v>
      </c>
      <c r="I54">
        <f>_xlfn.PERCENTILE.INC(Таблица1[Застраховки],$A$54)</f>
        <v>4963.2224999999989</v>
      </c>
      <c r="J54">
        <f>_xlfn.PERCENTILE.INC(Таблица1[Заплати + осигуровки],$A$54)</f>
        <v>9616.4699999999993</v>
      </c>
      <c r="K54">
        <f>_xlfn.PERCENTILE.INC(Таблица1[Кредити],$A$54)</f>
        <v>48993.877500000002</v>
      </c>
      <c r="L54">
        <f>_xlfn.PERCENTILE.INC(Таблица1[Лихви кредити],$A$54)</f>
        <v>12104.692499999999</v>
      </c>
      <c r="M54">
        <f>_xlfn.PERCENTILE.INC(Таблица1[Лизингови договори],$A$54)</f>
        <v>12038.1775</v>
      </c>
      <c r="N54">
        <f>_xlfn.PERCENTILE.INC(Таблица1[Гориво],$A$54)</f>
        <v>8551.3274999999994</v>
      </c>
      <c r="O54">
        <f>_xlfn.PERCENTILE.INC(Таблица1[Ремонт],$A$54)</f>
        <v>6587.3424999999997</v>
      </c>
      <c r="P54">
        <f>_xlfn.PERCENTILE.INC(Таблица1[Фуражи],$A$54)</f>
        <v>132933.4975</v>
      </c>
      <c r="Q54">
        <f>_xlfn.PERCENTILE.INC(Таблица1[Семенна течност],$A$54)</f>
        <v>2369.11</v>
      </c>
      <c r="R54">
        <f>_xlfn.PERCENTILE.INC(Таблица1[Ушни марки],$A$54)</f>
        <v>338.125</v>
      </c>
      <c r="S54">
        <f>_xlfn.PERCENTILE.INC(Таблица1[Други],$A$54)</f>
        <v>3048.7725</v>
      </c>
      <c r="T54">
        <f>_xlfn.PERCENTILE.INC(Таблица1[Общи разходи],$A$54)</f>
        <v>208376.9425</v>
      </c>
      <c r="U54">
        <f>_xlfn.PERCENTILE.INC(Таблица1[Печалба на месец],$A$54)</f>
        <v>158524.27000000002</v>
      </c>
      <c r="V54">
        <f>_xlfn.PERCENTILE.INC(Таблица1[Производствени разходи],$A$54)</f>
        <v>166872.73749999999</v>
      </c>
      <c r="W54">
        <f>_xlfn.PERCENTILE.INC(Таблица1[Литри],$A$54)</f>
        <v>278337.25</v>
      </c>
      <c r="X54">
        <f>_xlfn.PERCENTILE.INC(Таблица1[Произ. разходи/литър],$A$54)</f>
        <v>0.78614459200584386</v>
      </c>
      <c r="Y54">
        <f>_xlfn.PERCENTILE.INC(Таблица1[Нисък],$A$54)</f>
        <v>0.47</v>
      </c>
      <c r="Z54">
        <f>_xlfn.PERCENTILE.INC(Таблица1[Среден],$A$54)</f>
        <v>0.18</v>
      </c>
      <c r="AA54">
        <f>_xlfn.PERCENTILE.INC(Таблица1[Висок],$A$54)</f>
        <v>0.2</v>
      </c>
      <c r="AB54">
        <f>_xlfn.PERCENTILE.INC(Таблица1[Мляко/Фураж],$A$54)</f>
        <v>2.419331330929881</v>
      </c>
      <c r="AC54">
        <f>_xlfn.PERCENTILE.INC(Таблица1[Намален],$A$54)</f>
        <v>1.43</v>
      </c>
      <c r="AD54">
        <f>_xlfn.PERCENTILE.INC(Таблица1[Устойчив],$A$54)</f>
        <v>0.65</v>
      </c>
      <c r="AE54">
        <f>_xlfn.PERCENTILE.INC(Таблица1[Повишен],$A$54)</f>
        <v>0.64</v>
      </c>
    </row>
    <row r="55" spans="1:37" x14ac:dyDescent="0.35">
      <c r="A55" s="9">
        <v>0.05</v>
      </c>
      <c r="B55">
        <f>_xlfn.PERCENTILE.INC(Таблица1[Приход мляко],$A$55)</f>
        <v>109254.20999999999</v>
      </c>
      <c r="C55">
        <f>_xlfn.PERCENTILE.INC(Таблица1[Приход животни],$A$55)</f>
        <v>0</v>
      </c>
      <c r="D55">
        <f>_xlfn.PERCENTILE.INC(Таблица1[Приходи телета],$A$55)</f>
        <v>0</v>
      </c>
      <c r="E55">
        <f>_xlfn.PERCENTILE.INC(Таблица1[Субсидия],$A$55)</f>
        <v>0</v>
      </c>
      <c r="F55">
        <f>_xlfn.PERCENTILE.INC(Таблица1[Общи приходи],$A$55)</f>
        <v>112522.20999999999</v>
      </c>
      <c r="G55">
        <f>_xlfn.PERCENTILE.INC(Таблица1[Разходи лекарства],$A$55)</f>
        <v>681.04250000000002</v>
      </c>
      <c r="H55">
        <f>_xlfn.PERCENTILE.INC(Таблица1[Ел енергия],$A$55)</f>
        <v>3688.0275000000001</v>
      </c>
      <c r="I55">
        <f>_xlfn.PERCENTILE.INC(Таблица1[Застраховки],$A$55)</f>
        <v>0</v>
      </c>
      <c r="J55">
        <f>_xlfn.PERCENTILE.INC(Таблица1[Заплати + осигуровки],$A$55)</f>
        <v>2935.4549999999999</v>
      </c>
      <c r="K55">
        <f>_xlfn.PERCENTILE.INC(Таблица1[Кредити],$A$55)</f>
        <v>0</v>
      </c>
      <c r="L55">
        <f>_xlfn.PERCENTILE.INC(Таблица1[Лихви кредити],$A$55)</f>
        <v>291.78749999999997</v>
      </c>
      <c r="M55">
        <f>_xlfn.PERCENTILE.INC(Таблица1[Лизингови договори],$A$55)</f>
        <v>627.07249999999999</v>
      </c>
      <c r="N55">
        <f>_xlfn.PERCENTILE.INC(Таблица1[Гориво],$A$55)</f>
        <v>3661.4524999999999</v>
      </c>
      <c r="O55">
        <f>_xlfn.PERCENTILE.INC(Таблица1[Ремонт],$A$55)</f>
        <v>1380.0449999999998</v>
      </c>
      <c r="P55">
        <f>_xlfn.PERCENTILE.INC(Таблица1[Фуражи],$A$55)</f>
        <v>56390.61</v>
      </c>
      <c r="Q55">
        <f>_xlfn.PERCENTILE.INC(Таблица1[Семенна течност],$A$55)</f>
        <v>0</v>
      </c>
      <c r="R55">
        <f>_xlfn.PERCENTILE.INC(Таблица1[Ушни марки],$A$55)</f>
        <v>0</v>
      </c>
      <c r="S55">
        <f>_xlfn.PERCENTILE.INC(Таблица1[Други],$A$55)</f>
        <v>0</v>
      </c>
      <c r="T55">
        <f>_xlfn.PERCENTILE.INC(Таблица1[Общи разходи],$A$55)</f>
        <v>106511.77999999998</v>
      </c>
      <c r="U55">
        <f>_xlfn.PERCENTILE.INC(Таблица1[Печалба на месец],$A$55)</f>
        <v>-20015.472499999982</v>
      </c>
      <c r="V55">
        <f>_xlfn.PERCENTILE.INC(Таблица1[Производствени разходи],$A$55)</f>
        <v>72051.895000000004</v>
      </c>
      <c r="W55">
        <f>_xlfn.PERCENTILE.INC(Таблица1[Литри],$A$55)</f>
        <v>157880.25</v>
      </c>
      <c r="X55">
        <f>_xlfn.PERCENTILE.INC(Таблица1[Произ. разходи/литър],$A$55)</f>
        <v>0.37455077749662413</v>
      </c>
      <c r="Y55">
        <f>_xlfn.PERCENTILE.INC(Таблица1[Нисък],$A$55)</f>
        <v>0.47</v>
      </c>
      <c r="Z55">
        <f>_xlfn.PERCENTILE.INC(Таблица1[Среден],$A$55)</f>
        <v>0.18</v>
      </c>
      <c r="AA55">
        <f>_xlfn.PERCENTILE.INC(Таблица1[Висок],$A$55)</f>
        <v>0.2</v>
      </c>
      <c r="AB55" s="3">
        <f>_xlfn.PERCENTILE.INC(Таблица1[Мляко/Фураж],$A$55)</f>
        <v>1.3351819954766442</v>
      </c>
      <c r="AC55">
        <f>_xlfn.PERCENTILE.INC(Таблица1[Намален],$A$55)</f>
        <v>1.43</v>
      </c>
      <c r="AD55">
        <f>_xlfn.PERCENTILE.INC(Таблица1[Устойчив],$A$55)</f>
        <v>0.65</v>
      </c>
      <c r="AE55">
        <f>_xlfn.PERCENTILE.INC(Таблица1[Повишен],$A$55)</f>
        <v>0.64</v>
      </c>
    </row>
    <row r="56" spans="1:37" x14ac:dyDescent="0.35">
      <c r="AA56" t="s">
        <v>66</v>
      </c>
      <c r="AB56">
        <f>STDEV(Таблица1[Мляко/Фураж])</f>
        <v>0.38716237655052144</v>
      </c>
    </row>
    <row r="57" spans="1:37" x14ac:dyDescent="0.35">
      <c r="A57" s="9">
        <v>0.25</v>
      </c>
      <c r="B57">
        <f>_xlfn.PERCENTILE.INC(Таблица1[Приход мляко],$A$54)</f>
        <v>201376.32750000001</v>
      </c>
      <c r="AA57" t="s">
        <v>67</v>
      </c>
      <c r="AB57">
        <f>CONFIDENCE(0.05,AB56,AB42)</f>
        <v>0.12647071903465942</v>
      </c>
    </row>
    <row r="58" spans="1:37" x14ac:dyDescent="0.35">
      <c r="A58" s="9">
        <v>0.75</v>
      </c>
      <c r="AA58" t="s">
        <v>68</v>
      </c>
      <c r="AB58">
        <f>AVERAGE(Таблица1[Мляко/Фураж])</f>
        <v>1.7559953156135779</v>
      </c>
    </row>
    <row r="59" spans="1:37" x14ac:dyDescent="0.35">
      <c r="A59" s="9">
        <v>0.2</v>
      </c>
      <c r="AA59" t="s">
        <v>69</v>
      </c>
      <c r="AB59">
        <f>AB58-AB57</f>
        <v>1.6295245965789185</v>
      </c>
    </row>
    <row r="60" spans="1:37" x14ac:dyDescent="0.35">
      <c r="A60" s="9">
        <v>0.8</v>
      </c>
      <c r="AA60" t="s">
        <v>70</v>
      </c>
      <c r="AB60">
        <f>AB58+AB57</f>
        <v>1.8824660346482374</v>
      </c>
    </row>
    <row r="61" spans="1:37" x14ac:dyDescent="0.35">
      <c r="AA61" t="s">
        <v>77</v>
      </c>
      <c r="AB61">
        <f>MEDIAN(Таблица1[Мляко/Фураж])</f>
        <v>1.7276686251709061</v>
      </c>
    </row>
    <row r="62" spans="1:37" x14ac:dyDescent="0.35">
      <c r="A62" s="9"/>
    </row>
    <row r="63" spans="1:37" x14ac:dyDescent="0.35">
      <c r="A63" s="9"/>
    </row>
  </sheetData>
  <conditionalFormatting sqref="B1:B37">
    <cfRule type="top10" dxfId="3" priority="1" bottom="1" rank="10"/>
  </conditionalFormatting>
  <pageMargins left="0.7" right="0.7" top="0.75" bottom="0.75" header="0.3" footer="0.3"/>
  <drawing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2138D-1C5E-437E-A388-CD33C49F23E7}">
  <dimension ref="A1:AM60"/>
  <sheetViews>
    <sheetView topLeftCell="X1" workbookViewId="0">
      <selection activeCell="AN7" sqref="AN7"/>
    </sheetView>
  </sheetViews>
  <sheetFormatPr defaultRowHeight="14.5" x14ac:dyDescent="0.35"/>
  <cols>
    <col min="22" max="22" width="24.26953125" bestFit="1" customWidth="1"/>
    <col min="23" max="23" width="24.26953125" customWidth="1"/>
    <col min="28" max="28" width="10.54296875" bestFit="1" customWidth="1"/>
    <col min="33" max="33" width="15.453125" bestFit="1" customWidth="1"/>
    <col min="34" max="34" width="19.26953125" bestFit="1" customWidth="1"/>
    <col min="35" max="35" width="17.54296875" bestFit="1" customWidth="1"/>
    <col min="36" max="36" width="15.1796875" bestFit="1" customWidth="1"/>
    <col min="37" max="37" width="9.54296875" bestFit="1" customWidth="1"/>
  </cols>
  <sheetData>
    <row r="1" spans="1:39" x14ac:dyDescent="0.35">
      <c r="A1" t="s">
        <v>19</v>
      </c>
      <c r="B1" t="s">
        <v>0</v>
      </c>
      <c r="C1" t="s">
        <v>1</v>
      </c>
      <c r="D1" t="s">
        <v>2</v>
      </c>
      <c r="E1" t="s">
        <v>3</v>
      </c>
      <c r="F1" s="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33</v>
      </c>
      <c r="V1" t="s">
        <v>38</v>
      </c>
      <c r="W1" t="s">
        <v>72</v>
      </c>
      <c r="X1" t="s">
        <v>32</v>
      </c>
      <c r="Y1" t="s">
        <v>50</v>
      </c>
      <c r="Z1" t="s">
        <v>35</v>
      </c>
      <c r="AA1" t="s">
        <v>36</v>
      </c>
      <c r="AB1" t="s">
        <v>37</v>
      </c>
      <c r="AC1" t="s">
        <v>34</v>
      </c>
      <c r="AD1" t="s">
        <v>39</v>
      </c>
      <c r="AE1" t="s">
        <v>40</v>
      </c>
      <c r="AF1" t="s">
        <v>41</v>
      </c>
      <c r="AG1" t="s">
        <v>71</v>
      </c>
      <c r="AH1" t="s">
        <v>73</v>
      </c>
      <c r="AI1" t="s">
        <v>74</v>
      </c>
      <c r="AJ1" t="s">
        <v>76</v>
      </c>
      <c r="AK1" t="s">
        <v>75</v>
      </c>
    </row>
    <row r="2" spans="1:39" x14ac:dyDescent="0.35">
      <c r="A2" s="2">
        <v>43466</v>
      </c>
      <c r="B2">
        <v>70344.399999999994</v>
      </c>
      <c r="C2">
        <v>0</v>
      </c>
      <c r="D2">
        <v>0</v>
      </c>
      <c r="E2">
        <v>2429.33</v>
      </c>
      <c r="F2" s="1">
        <f>SUM(B2:E2)</f>
        <v>72773.73</v>
      </c>
      <c r="G2">
        <v>966.23</v>
      </c>
      <c r="H2">
        <v>4380.63</v>
      </c>
      <c r="I2">
        <v>0</v>
      </c>
      <c r="J2">
        <v>2973.52</v>
      </c>
      <c r="K2">
        <v>7690.23</v>
      </c>
      <c r="L2">
        <v>5572.0400000000009</v>
      </c>
      <c r="M2">
        <v>6440.0400000000009</v>
      </c>
      <c r="N2">
        <v>3782.54</v>
      </c>
      <c r="O2">
        <v>1105.95</v>
      </c>
      <c r="P2">
        <v>71246.76999999999</v>
      </c>
      <c r="Q2">
        <v>1189.8</v>
      </c>
      <c r="R2">
        <v>42</v>
      </c>
      <c r="S2">
        <v>0</v>
      </c>
      <c r="T2" s="1">
        <f>SUM(G2:S2)</f>
        <v>105389.74999999999</v>
      </c>
      <c r="U2">
        <f>F2-T2</f>
        <v>-32616.01999999999</v>
      </c>
      <c r="V2">
        <f>SUM(G2,H2,J2,N2,O2,P2,Q2,R2,S2)</f>
        <v>85687.439999999988</v>
      </c>
      <c r="W2">
        <f>T2-V2</f>
        <v>19702.309999999998</v>
      </c>
      <c r="X2">
        <v>100492</v>
      </c>
      <c r="Y2" s="4">
        <f>V2/X2</f>
        <v>0.85267921824622839</v>
      </c>
      <c r="Z2">
        <v>0.54</v>
      </c>
      <c r="AA2">
        <v>0.14000000000000001</v>
      </c>
      <c r="AB2">
        <v>0.21999999999999997</v>
      </c>
      <c r="AC2" s="4">
        <f>B2/P2</f>
        <v>0.98733458372919924</v>
      </c>
      <c r="AD2">
        <v>1.5</v>
      </c>
      <c r="AE2">
        <v>0.60000000000000009</v>
      </c>
      <c r="AF2">
        <v>0.79999999999999982</v>
      </c>
      <c r="AG2" s="4">
        <f>F2/X2</f>
        <v>0.72417436213827957</v>
      </c>
      <c r="AH2" s="4">
        <f>V2/X2</f>
        <v>0.85267921824622839</v>
      </c>
      <c r="AI2" s="4">
        <f>W2/X2</f>
        <v>0.196058492218286</v>
      </c>
      <c r="AJ2" s="4">
        <f>U2/X2</f>
        <v>-0.32456334832623485</v>
      </c>
      <c r="AK2" s="4">
        <f>U2/F2</f>
        <v>-0.44818398067544418</v>
      </c>
      <c r="AM2">
        <f>COUNTIF($AK$2:$AK$37,"&lt;0,2")</f>
        <v>0</v>
      </c>
    </row>
    <row r="3" spans="1:39" x14ac:dyDescent="0.35">
      <c r="A3" s="2">
        <v>43497</v>
      </c>
      <c r="B3">
        <v>88714.5</v>
      </c>
      <c r="C3">
        <v>2356</v>
      </c>
      <c r="D3">
        <v>0</v>
      </c>
      <c r="E3">
        <v>0</v>
      </c>
      <c r="F3" s="1">
        <f t="shared" ref="F3:F37" si="0">SUM(B3:E3)</f>
        <v>91070.5</v>
      </c>
      <c r="G3">
        <v>1349.9099999999999</v>
      </c>
      <c r="H3">
        <v>3967.65</v>
      </c>
      <c r="I3">
        <v>0</v>
      </c>
      <c r="J3">
        <v>3550.95</v>
      </c>
      <c r="K3">
        <v>6000</v>
      </c>
      <c r="L3">
        <v>10427.81</v>
      </c>
      <c r="M3">
        <v>1713.8</v>
      </c>
      <c r="N3">
        <v>3697.19</v>
      </c>
      <c r="O3">
        <v>3078.37</v>
      </c>
      <c r="P3">
        <v>71556.709999999992</v>
      </c>
      <c r="Q3">
        <v>1333.4</v>
      </c>
      <c r="R3">
        <v>0</v>
      </c>
      <c r="S3">
        <v>210</v>
      </c>
      <c r="T3" s="1">
        <f t="shared" ref="T3:T37" si="1">SUM(G3:S3)</f>
        <v>106885.78999999998</v>
      </c>
      <c r="U3">
        <f t="shared" ref="U3:U37" si="2">F3-T3</f>
        <v>-15815.289999999979</v>
      </c>
      <c r="V3">
        <f t="shared" ref="V3:V37" si="3">SUM(G3,H3,J3,N3,O3,P3,Q3,R3,S3)</f>
        <v>88744.18</v>
      </c>
      <c r="W3">
        <f t="shared" ref="W3:W37" si="4">T3-V3</f>
        <v>18141.609999999986</v>
      </c>
      <c r="X3">
        <v>126735</v>
      </c>
      <c r="Y3" s="4">
        <f t="shared" ref="Y3:Y37" si="5">V3/X3</f>
        <v>0.70023418945042804</v>
      </c>
      <c r="Z3">
        <v>0.54</v>
      </c>
      <c r="AA3">
        <v>0.14000000000000001</v>
      </c>
      <c r="AB3">
        <v>0.21999999999999997</v>
      </c>
      <c r="AC3" s="4">
        <f t="shared" ref="AC3:AC37" si="6">B3/P3</f>
        <v>1.2397789110203643</v>
      </c>
      <c r="AD3">
        <v>1.5</v>
      </c>
      <c r="AE3">
        <v>0.60000000000000009</v>
      </c>
      <c r="AF3">
        <v>0.79999999999999982</v>
      </c>
      <c r="AG3" s="4">
        <f t="shared" ref="AG3:AG37" si="7">F3/X3</f>
        <v>0.71858997119974755</v>
      </c>
      <c r="AH3" s="4">
        <f t="shared" ref="AH3:AH37" si="8">V3/X3</f>
        <v>0.70023418945042804</v>
      </c>
      <c r="AI3" s="4">
        <f t="shared" ref="AI3:AI37" si="9">W3/X3</f>
        <v>0.14314601333491131</v>
      </c>
      <c r="AJ3" s="4">
        <f t="shared" ref="AJ3:AJ37" si="10">U3/X3</f>
        <v>-0.12479023158559181</v>
      </c>
      <c r="AK3" s="4">
        <f t="shared" ref="AK3:AK37" si="11">U3/F3</f>
        <v>-0.17365985692403116</v>
      </c>
      <c r="AM3">
        <f>COUNTIF($AK$2:$AK$37,"&lt;0,29")</f>
        <v>0</v>
      </c>
    </row>
    <row r="4" spans="1:39" x14ac:dyDescent="0.35">
      <c r="A4" s="2">
        <v>43525</v>
      </c>
      <c r="B4">
        <v>116100.78</v>
      </c>
      <c r="C4">
        <v>3572</v>
      </c>
      <c r="D4">
        <v>0</v>
      </c>
      <c r="E4">
        <v>0</v>
      </c>
      <c r="F4" s="1">
        <f t="shared" si="0"/>
        <v>119672.78</v>
      </c>
      <c r="G4">
        <v>947.92</v>
      </c>
      <c r="H4">
        <v>3735.31</v>
      </c>
      <c r="I4">
        <v>486.02</v>
      </c>
      <c r="J4">
        <v>3550.95</v>
      </c>
      <c r="K4">
        <v>25195.23</v>
      </c>
      <c r="L4">
        <v>10360.36</v>
      </c>
      <c r="M4">
        <v>1717.4</v>
      </c>
      <c r="N4">
        <v>3788.98</v>
      </c>
      <c r="O4">
        <v>159.32</v>
      </c>
      <c r="P4">
        <v>78908.08</v>
      </c>
      <c r="Q4">
        <v>1082.4000000000001</v>
      </c>
      <c r="R4">
        <v>144.5</v>
      </c>
      <c r="S4">
        <v>0</v>
      </c>
      <c r="T4" s="1">
        <f t="shared" si="1"/>
        <v>130076.47</v>
      </c>
      <c r="U4">
        <f t="shared" si="2"/>
        <v>-10403.690000000002</v>
      </c>
      <c r="V4">
        <f t="shared" si="3"/>
        <v>92317.459999999992</v>
      </c>
      <c r="W4">
        <f t="shared" si="4"/>
        <v>37759.010000000009</v>
      </c>
      <c r="X4">
        <v>168262</v>
      </c>
      <c r="Y4" s="4">
        <f t="shared" si="5"/>
        <v>0.54865305297690503</v>
      </c>
      <c r="Z4">
        <v>0.54</v>
      </c>
      <c r="AA4">
        <v>0.14000000000000001</v>
      </c>
      <c r="AB4">
        <v>0.21999999999999997</v>
      </c>
      <c r="AC4" s="4">
        <f t="shared" si="6"/>
        <v>1.4713420982996925</v>
      </c>
      <c r="AD4">
        <v>1.5</v>
      </c>
      <c r="AE4">
        <v>0.60000000000000009</v>
      </c>
      <c r="AF4">
        <v>0.79999999999999982</v>
      </c>
      <c r="AG4" s="4">
        <f t="shared" si="7"/>
        <v>0.71122879794606031</v>
      </c>
      <c r="AH4" s="4">
        <f t="shared" si="8"/>
        <v>0.54865305297690503</v>
      </c>
      <c r="AI4" s="4">
        <f t="shared" si="9"/>
        <v>0.22440604533406242</v>
      </c>
      <c r="AJ4" s="4">
        <f t="shared" si="10"/>
        <v>-6.1830300364907123E-2</v>
      </c>
      <c r="AK4" s="4">
        <f t="shared" si="11"/>
        <v>-8.693447248405195E-2</v>
      </c>
    </row>
    <row r="5" spans="1:39" x14ac:dyDescent="0.35">
      <c r="A5" s="2">
        <v>43556</v>
      </c>
      <c r="B5">
        <v>121718.2</v>
      </c>
      <c r="C5">
        <v>0</v>
      </c>
      <c r="D5">
        <v>0</v>
      </c>
      <c r="E5">
        <v>87679.55</v>
      </c>
      <c r="F5" s="1">
        <f t="shared" si="0"/>
        <v>209397.75</v>
      </c>
      <c r="G5">
        <v>700.39</v>
      </c>
      <c r="H5">
        <v>3744.47</v>
      </c>
      <c r="I5">
        <v>30.4</v>
      </c>
      <c r="J5">
        <v>3550.95</v>
      </c>
      <c r="K5">
        <v>25195.23</v>
      </c>
      <c r="L5">
        <v>10391.799999999997</v>
      </c>
      <c r="M5">
        <v>1725.3899999999999</v>
      </c>
      <c r="N5">
        <v>3788.98</v>
      </c>
      <c r="O5">
        <v>2165.62</v>
      </c>
      <c r="P5">
        <v>52766.18</v>
      </c>
      <c r="Q5">
        <v>910.4</v>
      </c>
      <c r="R5">
        <v>0</v>
      </c>
      <c r="S5">
        <v>0</v>
      </c>
      <c r="T5" s="1">
        <f t="shared" si="1"/>
        <v>104969.81</v>
      </c>
      <c r="U5">
        <f t="shared" si="2"/>
        <v>104427.94</v>
      </c>
      <c r="V5">
        <f t="shared" si="3"/>
        <v>67626.989999999991</v>
      </c>
      <c r="W5">
        <f t="shared" si="4"/>
        <v>37342.820000000007</v>
      </c>
      <c r="X5">
        <v>180344</v>
      </c>
      <c r="Y5" s="4">
        <f t="shared" si="5"/>
        <v>0.37498885463336729</v>
      </c>
      <c r="Z5">
        <v>0.54</v>
      </c>
      <c r="AA5">
        <v>0.14000000000000001</v>
      </c>
      <c r="AB5">
        <v>0.21999999999999997</v>
      </c>
      <c r="AC5" s="4">
        <f t="shared" si="6"/>
        <v>2.3067464804160545</v>
      </c>
      <c r="AD5">
        <v>1.5</v>
      </c>
      <c r="AE5">
        <v>0.60000000000000009</v>
      </c>
      <c r="AF5">
        <v>0.79999999999999982</v>
      </c>
      <c r="AG5" s="4">
        <f t="shared" si="7"/>
        <v>1.1611018387082466</v>
      </c>
      <c r="AH5" s="4">
        <f t="shared" si="8"/>
        <v>0.37498885463336729</v>
      </c>
      <c r="AI5" s="4">
        <f t="shared" si="9"/>
        <v>0.20706438805837737</v>
      </c>
      <c r="AJ5" s="4">
        <f t="shared" si="10"/>
        <v>0.57904859601650183</v>
      </c>
      <c r="AK5" s="4">
        <f t="shared" si="11"/>
        <v>0.49870612267801351</v>
      </c>
    </row>
    <row r="6" spans="1:39" x14ac:dyDescent="0.35">
      <c r="A6" s="2">
        <v>43586</v>
      </c>
      <c r="B6">
        <v>128595.11</v>
      </c>
      <c r="C6">
        <v>14735</v>
      </c>
      <c r="D6">
        <v>0</v>
      </c>
      <c r="E6">
        <v>12244.630000000001</v>
      </c>
      <c r="F6" s="1">
        <f t="shared" si="0"/>
        <v>155574.74</v>
      </c>
      <c r="G6">
        <v>1158.0700000000002</v>
      </c>
      <c r="H6">
        <v>3546.18</v>
      </c>
      <c r="I6">
        <v>863.03</v>
      </c>
      <c r="J6">
        <v>3727.46</v>
      </c>
      <c r="K6">
        <v>25195.23</v>
      </c>
      <c r="L6">
        <v>10553.77</v>
      </c>
      <c r="M6">
        <v>1733.41</v>
      </c>
      <c r="N6">
        <v>3870.52</v>
      </c>
      <c r="O6">
        <v>2517.71</v>
      </c>
      <c r="P6">
        <v>55658.07</v>
      </c>
      <c r="Q6">
        <v>1158.4000000000001</v>
      </c>
      <c r="R6">
        <v>0</v>
      </c>
      <c r="S6">
        <v>0</v>
      </c>
      <c r="T6" s="1">
        <f t="shared" si="1"/>
        <v>109981.85</v>
      </c>
      <c r="U6">
        <f t="shared" si="2"/>
        <v>45592.889999999985</v>
      </c>
      <c r="V6">
        <f t="shared" si="3"/>
        <v>71636.409999999989</v>
      </c>
      <c r="W6">
        <f t="shared" si="4"/>
        <v>38345.440000000017</v>
      </c>
      <c r="X6">
        <v>191933</v>
      </c>
      <c r="Y6" s="4">
        <f t="shared" si="5"/>
        <v>0.37323654608639467</v>
      </c>
      <c r="Z6">
        <v>0.54</v>
      </c>
      <c r="AA6">
        <v>0.14000000000000001</v>
      </c>
      <c r="AB6">
        <v>0.21999999999999997</v>
      </c>
      <c r="AC6" s="4">
        <f t="shared" si="6"/>
        <v>2.3104486016133867</v>
      </c>
      <c r="AD6">
        <v>1.5</v>
      </c>
      <c r="AE6">
        <v>0.60000000000000009</v>
      </c>
      <c r="AF6">
        <v>0.79999999999999982</v>
      </c>
      <c r="AG6" s="4">
        <f t="shared" si="7"/>
        <v>0.81056795861055675</v>
      </c>
      <c r="AH6" s="4">
        <f t="shared" si="8"/>
        <v>0.37323654608639467</v>
      </c>
      <c r="AI6" s="4">
        <f t="shared" si="9"/>
        <v>0.1997855501659434</v>
      </c>
      <c r="AJ6" s="4">
        <f t="shared" si="10"/>
        <v>0.23754586235821867</v>
      </c>
      <c r="AK6" s="4">
        <f t="shared" si="11"/>
        <v>0.29306100720463996</v>
      </c>
    </row>
    <row r="7" spans="1:39" x14ac:dyDescent="0.35">
      <c r="A7" s="2">
        <v>43617</v>
      </c>
      <c r="B7">
        <v>126427.66</v>
      </c>
      <c r="C7">
        <v>0</v>
      </c>
      <c r="D7">
        <v>0</v>
      </c>
      <c r="E7">
        <v>0</v>
      </c>
      <c r="F7" s="1">
        <f t="shared" si="0"/>
        <v>126427.66</v>
      </c>
      <c r="G7">
        <v>909.38</v>
      </c>
      <c r="H7">
        <v>3417.36</v>
      </c>
      <c r="I7">
        <v>309.67</v>
      </c>
      <c r="J7">
        <v>4236.05</v>
      </c>
      <c r="K7">
        <v>25195.23</v>
      </c>
      <c r="L7">
        <v>14829.17</v>
      </c>
      <c r="M7">
        <v>1745.18</v>
      </c>
      <c r="N7">
        <v>3778.22</v>
      </c>
      <c r="O7">
        <v>2479.67</v>
      </c>
      <c r="P7">
        <v>57326.180000000008</v>
      </c>
      <c r="Q7">
        <v>1590.4</v>
      </c>
      <c r="R7">
        <v>0</v>
      </c>
      <c r="S7">
        <v>0</v>
      </c>
      <c r="T7" s="1">
        <f t="shared" si="1"/>
        <v>115816.51000000001</v>
      </c>
      <c r="U7">
        <f t="shared" si="2"/>
        <v>10611.149999999994</v>
      </c>
      <c r="V7">
        <f t="shared" si="3"/>
        <v>73737.260000000009</v>
      </c>
      <c r="W7">
        <f t="shared" si="4"/>
        <v>42079.25</v>
      </c>
      <c r="X7">
        <v>188698</v>
      </c>
      <c r="Y7" s="4">
        <f t="shared" si="5"/>
        <v>0.39076863559762165</v>
      </c>
      <c r="Z7">
        <v>0.54</v>
      </c>
      <c r="AA7">
        <v>0.14000000000000001</v>
      </c>
      <c r="AB7">
        <v>0.21999999999999997</v>
      </c>
      <c r="AC7" s="4">
        <f t="shared" si="6"/>
        <v>2.2054087678613854</v>
      </c>
      <c r="AD7">
        <v>1.5</v>
      </c>
      <c r="AE7">
        <v>0.60000000000000009</v>
      </c>
      <c r="AF7">
        <v>0.79999999999999982</v>
      </c>
      <c r="AG7" s="4">
        <f t="shared" si="7"/>
        <v>0.67</v>
      </c>
      <c r="AH7" s="4">
        <f t="shared" si="8"/>
        <v>0.39076863559762165</v>
      </c>
      <c r="AI7" s="4">
        <f t="shared" si="9"/>
        <v>0.22299785901281413</v>
      </c>
      <c r="AJ7" s="4">
        <f t="shared" si="10"/>
        <v>5.6233505389564245E-2</v>
      </c>
      <c r="AK7" s="4">
        <f t="shared" si="11"/>
        <v>8.3930605059051117E-2</v>
      </c>
    </row>
    <row r="8" spans="1:39" x14ac:dyDescent="0.35">
      <c r="A8" s="2">
        <v>43647</v>
      </c>
      <c r="B8">
        <v>142250.63</v>
      </c>
      <c r="C8">
        <v>0</v>
      </c>
      <c r="D8">
        <v>0</v>
      </c>
      <c r="E8">
        <v>5480</v>
      </c>
      <c r="F8" s="1">
        <f t="shared" si="0"/>
        <v>147730.63</v>
      </c>
      <c r="G8">
        <v>349.93</v>
      </c>
      <c r="H8">
        <v>4218.97</v>
      </c>
      <c r="I8">
        <v>793.11999999999989</v>
      </c>
      <c r="J8">
        <v>4737.6099999999997</v>
      </c>
      <c r="K8">
        <v>25195.23</v>
      </c>
      <c r="L8">
        <v>11225.07</v>
      </c>
      <c r="M8">
        <v>31090.460000000003</v>
      </c>
      <c r="N8">
        <v>3730.57</v>
      </c>
      <c r="O8">
        <v>1471.4099999999999</v>
      </c>
      <c r="P8">
        <v>59680.429999999993</v>
      </c>
      <c r="Q8">
        <v>970.6</v>
      </c>
      <c r="R8">
        <v>0</v>
      </c>
      <c r="S8">
        <v>1172.02</v>
      </c>
      <c r="T8" s="1">
        <f t="shared" si="1"/>
        <v>144635.41999999998</v>
      </c>
      <c r="U8">
        <f t="shared" si="2"/>
        <v>3095.210000000021</v>
      </c>
      <c r="V8">
        <f t="shared" si="3"/>
        <v>76331.540000000008</v>
      </c>
      <c r="W8">
        <f t="shared" si="4"/>
        <v>68303.879999999976</v>
      </c>
      <c r="X8">
        <v>200353</v>
      </c>
      <c r="Y8" s="4">
        <f t="shared" si="5"/>
        <v>0.3809852610143098</v>
      </c>
      <c r="Z8">
        <v>0.54</v>
      </c>
      <c r="AA8">
        <v>0.14000000000000001</v>
      </c>
      <c r="AB8">
        <v>0.21999999999999997</v>
      </c>
      <c r="AC8" s="4">
        <f t="shared" si="6"/>
        <v>2.3835389590859184</v>
      </c>
      <c r="AD8">
        <v>1.5</v>
      </c>
      <c r="AE8">
        <v>0.60000000000000009</v>
      </c>
      <c r="AF8">
        <v>0.79999999999999982</v>
      </c>
      <c r="AG8" s="4">
        <f t="shared" si="7"/>
        <v>0.73735172420677508</v>
      </c>
      <c r="AH8" s="4">
        <f t="shared" si="8"/>
        <v>0.3809852610143098</v>
      </c>
      <c r="AI8" s="4">
        <f t="shared" si="9"/>
        <v>0.34091768029428049</v>
      </c>
      <c r="AJ8" s="4">
        <f t="shared" si="10"/>
        <v>1.5448782898184809E-2</v>
      </c>
      <c r="AK8" s="4">
        <f t="shared" si="11"/>
        <v>2.0951714617341174E-2</v>
      </c>
    </row>
    <row r="9" spans="1:39" x14ac:dyDescent="0.35">
      <c r="A9" s="2">
        <v>43678</v>
      </c>
      <c r="B9">
        <v>153521.88</v>
      </c>
      <c r="C9">
        <v>0</v>
      </c>
      <c r="D9">
        <v>0</v>
      </c>
      <c r="E9">
        <v>0</v>
      </c>
      <c r="F9" s="1">
        <f t="shared" si="0"/>
        <v>153521.88</v>
      </c>
      <c r="G9">
        <v>774.18</v>
      </c>
      <c r="H9">
        <v>4514.63</v>
      </c>
      <c r="I9">
        <v>1436.93</v>
      </c>
      <c r="J9">
        <v>3970.4300000000003</v>
      </c>
      <c r="K9">
        <v>25195.23</v>
      </c>
      <c r="L9">
        <v>5405.44</v>
      </c>
      <c r="M9">
        <v>4552.0300000000007</v>
      </c>
      <c r="N9">
        <v>3698.54</v>
      </c>
      <c r="O9">
        <v>1642.2199999999998</v>
      </c>
      <c r="P9">
        <v>56634.79</v>
      </c>
      <c r="Q9">
        <v>797.6</v>
      </c>
      <c r="R9">
        <v>0</v>
      </c>
      <c r="S9">
        <v>158</v>
      </c>
      <c r="T9" s="1">
        <f t="shared" si="1"/>
        <v>108780.02000000002</v>
      </c>
      <c r="U9">
        <f t="shared" si="2"/>
        <v>44741.859999999986</v>
      </c>
      <c r="V9">
        <f t="shared" si="3"/>
        <v>72190.390000000014</v>
      </c>
      <c r="W9">
        <f t="shared" si="4"/>
        <v>36589.630000000005</v>
      </c>
      <c r="X9">
        <v>216228</v>
      </c>
      <c r="Y9" s="4">
        <f t="shared" si="5"/>
        <v>0.33386235825147537</v>
      </c>
      <c r="Z9">
        <v>0.54</v>
      </c>
      <c r="AA9">
        <v>0.14000000000000001</v>
      </c>
      <c r="AB9">
        <v>0.21999999999999997</v>
      </c>
      <c r="AC9" s="4">
        <f t="shared" si="6"/>
        <v>2.7107345149509694</v>
      </c>
      <c r="AD9">
        <v>1.5</v>
      </c>
      <c r="AE9">
        <v>0.60000000000000009</v>
      </c>
      <c r="AF9">
        <v>0.79999999999999982</v>
      </c>
      <c r="AG9" s="4">
        <f t="shared" si="7"/>
        <v>0.71000000000000008</v>
      </c>
      <c r="AH9" s="4">
        <f t="shared" si="8"/>
        <v>0.33386235825147537</v>
      </c>
      <c r="AI9" s="4">
        <f t="shared" si="9"/>
        <v>0.16921781637900737</v>
      </c>
      <c r="AJ9" s="4">
        <f t="shared" si="10"/>
        <v>0.20691982536951731</v>
      </c>
      <c r="AK9" s="4">
        <f t="shared" si="11"/>
        <v>0.29143637375988352</v>
      </c>
    </row>
    <row r="10" spans="1:39" x14ac:dyDescent="0.35">
      <c r="A10" s="2">
        <v>43709</v>
      </c>
      <c r="B10">
        <v>143260.25</v>
      </c>
      <c r="C10">
        <v>0</v>
      </c>
      <c r="D10">
        <v>0</v>
      </c>
      <c r="E10">
        <v>0</v>
      </c>
      <c r="F10" s="1">
        <f t="shared" si="0"/>
        <v>143260.25</v>
      </c>
      <c r="G10">
        <v>1174.77</v>
      </c>
      <c r="H10">
        <v>4235.33</v>
      </c>
      <c r="I10">
        <v>4882.1299999999992</v>
      </c>
      <c r="J10">
        <v>2821.26</v>
      </c>
      <c r="K10">
        <v>25195.23</v>
      </c>
      <c r="L10">
        <v>11455.25</v>
      </c>
      <c r="M10">
        <v>9293.86</v>
      </c>
      <c r="N10">
        <v>3875.1</v>
      </c>
      <c r="O10">
        <v>2150.3200000000002</v>
      </c>
      <c r="P10">
        <v>69044.42</v>
      </c>
      <c r="Q10">
        <v>790</v>
      </c>
      <c r="R10">
        <v>225</v>
      </c>
      <c r="S10">
        <v>0</v>
      </c>
      <c r="T10" s="1">
        <f t="shared" si="1"/>
        <v>135142.66999999998</v>
      </c>
      <c r="U10">
        <f t="shared" si="2"/>
        <v>8117.5800000000163</v>
      </c>
      <c r="V10">
        <f t="shared" si="3"/>
        <v>84316.2</v>
      </c>
      <c r="W10">
        <f t="shared" si="4"/>
        <v>50826.469999999987</v>
      </c>
      <c r="X10">
        <v>201775</v>
      </c>
      <c r="Y10" s="4">
        <f t="shared" si="5"/>
        <v>0.41787238260438608</v>
      </c>
      <c r="Z10">
        <v>0.54</v>
      </c>
      <c r="AA10">
        <v>0.14000000000000001</v>
      </c>
      <c r="AB10">
        <v>0.21999999999999997</v>
      </c>
      <c r="AC10" s="4">
        <f t="shared" si="6"/>
        <v>2.0748997529416568</v>
      </c>
      <c r="AD10">
        <v>1.5</v>
      </c>
      <c r="AE10">
        <v>0.60000000000000009</v>
      </c>
      <c r="AF10">
        <v>0.79999999999999982</v>
      </c>
      <c r="AG10" s="4">
        <f t="shared" si="7"/>
        <v>0.71</v>
      </c>
      <c r="AH10" s="4">
        <f t="shared" si="8"/>
        <v>0.41787238260438608</v>
      </c>
      <c r="AI10" s="4">
        <f t="shared" si="9"/>
        <v>0.25189676619997514</v>
      </c>
      <c r="AJ10" s="4">
        <f t="shared" si="10"/>
        <v>4.0230851195638788E-2</v>
      </c>
      <c r="AK10" s="4">
        <f t="shared" si="11"/>
        <v>5.6663170698082799E-2</v>
      </c>
    </row>
    <row r="11" spans="1:39" x14ac:dyDescent="0.35">
      <c r="A11" s="2">
        <v>43739</v>
      </c>
      <c r="B11">
        <v>133142.28</v>
      </c>
      <c r="C11">
        <v>5751.5</v>
      </c>
      <c r="D11">
        <v>0</v>
      </c>
      <c r="E11">
        <v>4236.17</v>
      </c>
      <c r="F11" s="1">
        <f t="shared" si="0"/>
        <v>143129.95000000001</v>
      </c>
      <c r="G11">
        <v>1630.9699999999998</v>
      </c>
      <c r="H11">
        <v>3741.69</v>
      </c>
      <c r="I11">
        <v>30.4</v>
      </c>
      <c r="J11">
        <v>2821.26</v>
      </c>
      <c r="K11">
        <v>25195.23</v>
      </c>
      <c r="L11">
        <v>7615.28</v>
      </c>
      <c r="M11">
        <v>9301.8100000000013</v>
      </c>
      <c r="N11">
        <v>3980.93</v>
      </c>
      <c r="O11">
        <v>6177.88</v>
      </c>
      <c r="P11">
        <v>76548.08</v>
      </c>
      <c r="Q11">
        <v>1224</v>
      </c>
      <c r="R11">
        <v>0</v>
      </c>
      <c r="S11">
        <v>0</v>
      </c>
      <c r="T11" s="1">
        <f t="shared" si="1"/>
        <v>138267.53</v>
      </c>
      <c r="U11">
        <f t="shared" si="2"/>
        <v>4862.4200000000128</v>
      </c>
      <c r="V11">
        <f t="shared" si="3"/>
        <v>96124.81</v>
      </c>
      <c r="W11">
        <f t="shared" si="4"/>
        <v>42142.720000000001</v>
      </c>
      <c r="X11">
        <v>179922</v>
      </c>
      <c r="Y11" s="4">
        <f t="shared" si="5"/>
        <v>0.53425823412367579</v>
      </c>
      <c r="Z11">
        <v>0.54</v>
      </c>
      <c r="AA11">
        <v>0.14000000000000001</v>
      </c>
      <c r="AB11">
        <v>0.21999999999999997</v>
      </c>
      <c r="AC11" s="4">
        <f t="shared" si="6"/>
        <v>1.7393287983186514</v>
      </c>
      <c r="AD11">
        <v>1.5</v>
      </c>
      <c r="AE11">
        <v>0.60000000000000009</v>
      </c>
      <c r="AF11">
        <v>0.79999999999999982</v>
      </c>
      <c r="AG11" s="4">
        <f t="shared" si="7"/>
        <v>0.79551111037004929</v>
      </c>
      <c r="AH11" s="4">
        <f t="shared" si="8"/>
        <v>0.53425823412367579</v>
      </c>
      <c r="AI11" s="4">
        <f t="shared" si="9"/>
        <v>0.23422772090127944</v>
      </c>
      <c r="AJ11" s="4">
        <f t="shared" si="10"/>
        <v>2.7025155345094056E-2</v>
      </c>
      <c r="AK11" s="4">
        <f t="shared" si="11"/>
        <v>3.3972065245603818E-2</v>
      </c>
    </row>
    <row r="12" spans="1:39" x14ac:dyDescent="0.35">
      <c r="A12" s="2">
        <v>43770</v>
      </c>
      <c r="B12">
        <v>156231.70000000001</v>
      </c>
      <c r="C12">
        <v>800</v>
      </c>
      <c r="D12">
        <v>0</v>
      </c>
      <c r="E12">
        <v>16356.98</v>
      </c>
      <c r="F12" s="1">
        <f t="shared" si="0"/>
        <v>173388.68000000002</v>
      </c>
      <c r="G12">
        <v>3406.52</v>
      </c>
      <c r="H12">
        <v>4609.79</v>
      </c>
      <c r="I12">
        <v>0</v>
      </c>
      <c r="J12">
        <v>3028.93</v>
      </c>
      <c r="K12">
        <v>45802.09</v>
      </c>
      <c r="L12">
        <v>351.54999999999995</v>
      </c>
      <c r="M12">
        <v>9309.39</v>
      </c>
      <c r="N12">
        <v>3924.53</v>
      </c>
      <c r="O12">
        <v>4378.43</v>
      </c>
      <c r="P12">
        <v>74599.34</v>
      </c>
      <c r="Q12">
        <v>1504</v>
      </c>
      <c r="R12">
        <v>0</v>
      </c>
      <c r="S12">
        <v>1309.43</v>
      </c>
      <c r="T12" s="1">
        <f t="shared" si="1"/>
        <v>152223.99999999997</v>
      </c>
      <c r="U12">
        <f t="shared" si="2"/>
        <v>21164.680000000051</v>
      </c>
      <c r="V12">
        <f t="shared" si="3"/>
        <v>96760.969999999987</v>
      </c>
      <c r="W12">
        <f t="shared" si="4"/>
        <v>55463.029999999984</v>
      </c>
      <c r="X12">
        <v>207245</v>
      </c>
      <c r="Y12" s="4">
        <f t="shared" si="5"/>
        <v>0.46689169823156162</v>
      </c>
      <c r="Z12">
        <v>0.54</v>
      </c>
      <c r="AA12">
        <v>0.14000000000000001</v>
      </c>
      <c r="AB12">
        <v>0.21999999999999997</v>
      </c>
      <c r="AC12" s="4">
        <f t="shared" si="6"/>
        <v>2.0942772415948991</v>
      </c>
      <c r="AD12">
        <v>1.5</v>
      </c>
      <c r="AE12">
        <v>0.60000000000000009</v>
      </c>
      <c r="AF12">
        <v>0.79999999999999982</v>
      </c>
      <c r="AG12" s="4">
        <f t="shared" si="7"/>
        <v>0.83663625177929513</v>
      </c>
      <c r="AH12" s="4">
        <f t="shared" si="8"/>
        <v>0.46689169823156162</v>
      </c>
      <c r="AI12" s="4">
        <f t="shared" si="9"/>
        <v>0.26762059398296695</v>
      </c>
      <c r="AJ12" s="4">
        <f t="shared" si="10"/>
        <v>0.10212395956476658</v>
      </c>
      <c r="AK12" s="4">
        <f t="shared" si="11"/>
        <v>0.12206494680044884</v>
      </c>
    </row>
    <row r="13" spans="1:39" x14ac:dyDescent="0.35">
      <c r="A13" s="2">
        <v>43800</v>
      </c>
      <c r="B13">
        <v>172834.64</v>
      </c>
      <c r="C13">
        <v>0</v>
      </c>
      <c r="D13">
        <v>0</v>
      </c>
      <c r="E13">
        <v>121467.70999999999</v>
      </c>
      <c r="F13" s="1">
        <f t="shared" si="0"/>
        <v>294302.34999999998</v>
      </c>
      <c r="G13">
        <v>1041.48</v>
      </c>
      <c r="H13">
        <v>6133.57</v>
      </c>
      <c r="I13">
        <v>2742.25</v>
      </c>
      <c r="J13">
        <v>6876.68</v>
      </c>
      <c r="K13">
        <v>45802.09</v>
      </c>
      <c r="L13">
        <v>14053.019999999999</v>
      </c>
      <c r="M13">
        <v>1792.75</v>
      </c>
      <c r="N13">
        <v>3928</v>
      </c>
      <c r="O13">
        <v>2270.25</v>
      </c>
      <c r="P13">
        <v>68403.079999999987</v>
      </c>
      <c r="Q13">
        <v>1252</v>
      </c>
      <c r="R13">
        <v>44</v>
      </c>
      <c r="S13">
        <v>218.49</v>
      </c>
      <c r="T13" s="1">
        <f t="shared" si="1"/>
        <v>154557.65999999997</v>
      </c>
      <c r="U13">
        <f t="shared" si="2"/>
        <v>139744.69</v>
      </c>
      <c r="V13">
        <f t="shared" si="3"/>
        <v>90167.549999999988</v>
      </c>
      <c r="W13">
        <f t="shared" si="4"/>
        <v>64390.109999999986</v>
      </c>
      <c r="X13">
        <v>227414</v>
      </c>
      <c r="Y13" s="4">
        <f t="shared" si="5"/>
        <v>0.3964907613427493</v>
      </c>
      <c r="Z13">
        <v>0.54</v>
      </c>
      <c r="AA13">
        <v>0.14000000000000001</v>
      </c>
      <c r="AB13">
        <v>0.21999999999999997</v>
      </c>
      <c r="AC13" s="4">
        <f t="shared" si="6"/>
        <v>2.5267084464617682</v>
      </c>
      <c r="AD13">
        <v>1.5</v>
      </c>
      <c r="AE13">
        <v>0.60000000000000009</v>
      </c>
      <c r="AF13">
        <v>0.79999999999999982</v>
      </c>
      <c r="AG13" s="4">
        <f t="shared" si="7"/>
        <v>1.2941259113335151</v>
      </c>
      <c r="AH13" s="4">
        <f t="shared" si="8"/>
        <v>0.3964907613427493</v>
      </c>
      <c r="AI13" s="4">
        <f t="shared" si="9"/>
        <v>0.28314048387522311</v>
      </c>
      <c r="AJ13" s="4">
        <f t="shared" si="10"/>
        <v>0.6144946661155426</v>
      </c>
      <c r="AK13" s="4">
        <f t="shared" si="11"/>
        <v>0.47483375515010334</v>
      </c>
    </row>
    <row r="14" spans="1:39" x14ac:dyDescent="0.35">
      <c r="A14" s="2">
        <v>43831</v>
      </c>
      <c r="B14">
        <v>178710</v>
      </c>
      <c r="C14">
        <v>9388</v>
      </c>
      <c r="D14">
        <v>0</v>
      </c>
      <c r="E14">
        <v>117079.12999999999</v>
      </c>
      <c r="F14" s="1">
        <f t="shared" si="0"/>
        <v>305177.13</v>
      </c>
      <c r="G14">
        <v>3617.92</v>
      </c>
      <c r="H14">
        <v>6764.92</v>
      </c>
      <c r="I14">
        <v>0</v>
      </c>
      <c r="J14">
        <v>7791.1100000000006</v>
      </c>
      <c r="K14">
        <v>45802.09</v>
      </c>
      <c r="L14">
        <v>10932.369999999999</v>
      </c>
      <c r="M14">
        <v>6534.6900000000005</v>
      </c>
      <c r="N14">
        <v>5186.34</v>
      </c>
      <c r="O14">
        <v>4801.4600000000009</v>
      </c>
      <c r="P14">
        <v>101707.67</v>
      </c>
      <c r="Q14">
        <v>1876</v>
      </c>
      <c r="R14">
        <v>0</v>
      </c>
      <c r="S14">
        <v>1058.97</v>
      </c>
      <c r="T14" s="1">
        <f t="shared" si="1"/>
        <v>196073.54</v>
      </c>
      <c r="U14">
        <f t="shared" si="2"/>
        <v>109103.59</v>
      </c>
      <c r="V14">
        <f t="shared" si="3"/>
        <v>132804.38999999998</v>
      </c>
      <c r="W14">
        <f t="shared" si="4"/>
        <v>63269.150000000023</v>
      </c>
      <c r="X14">
        <v>235146</v>
      </c>
      <c r="Y14" s="4">
        <f t="shared" si="5"/>
        <v>0.56477418284810277</v>
      </c>
      <c r="Z14">
        <v>0.54</v>
      </c>
      <c r="AA14">
        <v>0.14000000000000001</v>
      </c>
      <c r="AB14">
        <v>0.21999999999999997</v>
      </c>
      <c r="AC14" s="4">
        <f t="shared" si="6"/>
        <v>1.7570946222639847</v>
      </c>
      <c r="AD14">
        <v>1.5</v>
      </c>
      <c r="AE14">
        <v>0.60000000000000009</v>
      </c>
      <c r="AF14">
        <v>0.79999999999999982</v>
      </c>
      <c r="AG14" s="4">
        <f t="shared" si="7"/>
        <v>1.2978197800515425</v>
      </c>
      <c r="AH14" s="4">
        <f t="shared" si="8"/>
        <v>0.56477418284810277</v>
      </c>
      <c r="AI14" s="4">
        <f t="shared" si="9"/>
        <v>0.26906326282394777</v>
      </c>
      <c r="AJ14" s="4">
        <f t="shared" si="10"/>
        <v>0.46398233437949188</v>
      </c>
      <c r="AK14" s="4">
        <f t="shared" si="11"/>
        <v>0.35750906367066232</v>
      </c>
    </row>
    <row r="15" spans="1:39" x14ac:dyDescent="0.35">
      <c r="A15" s="2">
        <v>43862</v>
      </c>
      <c r="B15">
        <v>173751.2</v>
      </c>
      <c r="C15">
        <v>1564</v>
      </c>
      <c r="D15">
        <v>0</v>
      </c>
      <c r="E15">
        <v>0</v>
      </c>
      <c r="F15" s="1">
        <f t="shared" si="0"/>
        <v>175315.20000000001</v>
      </c>
      <c r="G15">
        <v>2022.1799999999998</v>
      </c>
      <c r="H15">
        <v>5723.89</v>
      </c>
      <c r="I15">
        <v>208.5</v>
      </c>
      <c r="J15">
        <v>8333.01</v>
      </c>
      <c r="K15">
        <v>34297.08</v>
      </c>
      <c r="L15">
        <v>882.27</v>
      </c>
      <c r="M15">
        <v>20224.54</v>
      </c>
      <c r="N15">
        <v>10251.34</v>
      </c>
      <c r="O15">
        <v>5414.31</v>
      </c>
      <c r="P15">
        <v>97384.71</v>
      </c>
      <c r="Q15">
        <v>1560</v>
      </c>
      <c r="R15">
        <v>0</v>
      </c>
      <c r="S15">
        <v>0</v>
      </c>
      <c r="T15" s="1">
        <f t="shared" si="1"/>
        <v>186301.83000000002</v>
      </c>
      <c r="U15">
        <f t="shared" si="2"/>
        <v>-10986.630000000005</v>
      </c>
      <c r="V15">
        <f t="shared" si="3"/>
        <v>130689.44</v>
      </c>
      <c r="W15">
        <f t="shared" si="4"/>
        <v>55612.390000000014</v>
      </c>
      <c r="X15">
        <v>228620</v>
      </c>
      <c r="Y15" s="4">
        <f t="shared" si="5"/>
        <v>0.57164482547458662</v>
      </c>
      <c r="Z15">
        <v>0.54</v>
      </c>
      <c r="AA15">
        <v>0.14000000000000001</v>
      </c>
      <c r="AB15">
        <v>0.21999999999999997</v>
      </c>
      <c r="AC15" s="4">
        <f t="shared" si="6"/>
        <v>1.7841733060559506</v>
      </c>
      <c r="AD15">
        <v>1.5</v>
      </c>
      <c r="AE15">
        <v>0.60000000000000009</v>
      </c>
      <c r="AF15">
        <v>0.79999999999999982</v>
      </c>
      <c r="AG15" s="4">
        <f t="shared" si="7"/>
        <v>0.76684104627766603</v>
      </c>
      <c r="AH15" s="4">
        <f t="shared" si="8"/>
        <v>0.57164482547458662</v>
      </c>
      <c r="AI15" s="4">
        <f t="shared" si="9"/>
        <v>0.24325251509054333</v>
      </c>
      <c r="AJ15" s="4">
        <f t="shared" si="10"/>
        <v>-4.8056294287463934E-2</v>
      </c>
      <c r="AK15" s="4">
        <f t="shared" si="11"/>
        <v>-6.2667869072390775E-2</v>
      </c>
    </row>
    <row r="16" spans="1:39" x14ac:dyDescent="0.35">
      <c r="A16" s="2">
        <v>43891</v>
      </c>
      <c r="B16">
        <v>199994</v>
      </c>
      <c r="C16">
        <v>7770</v>
      </c>
      <c r="D16">
        <v>0</v>
      </c>
      <c r="E16">
        <v>4057.62</v>
      </c>
      <c r="F16" s="1">
        <f t="shared" si="0"/>
        <v>211821.62</v>
      </c>
      <c r="G16">
        <v>2711.35</v>
      </c>
      <c r="H16">
        <v>5576.76</v>
      </c>
      <c r="I16">
        <v>419.15000000000003</v>
      </c>
      <c r="J16">
        <v>9246.4499999999989</v>
      </c>
      <c r="K16">
        <v>11505</v>
      </c>
      <c r="L16">
        <v>6283.4</v>
      </c>
      <c r="M16">
        <v>1817</v>
      </c>
      <c r="N16">
        <v>4740.66</v>
      </c>
      <c r="O16">
        <v>6423.5599999999995</v>
      </c>
      <c r="P16">
        <v>105190.55000000002</v>
      </c>
      <c r="Q16">
        <v>1936</v>
      </c>
      <c r="R16">
        <v>74</v>
      </c>
      <c r="S16">
        <v>290</v>
      </c>
      <c r="T16" s="1">
        <f t="shared" si="1"/>
        <v>156213.88</v>
      </c>
      <c r="U16">
        <f t="shared" si="2"/>
        <v>55607.739999999991</v>
      </c>
      <c r="V16">
        <f t="shared" si="3"/>
        <v>136189.33000000002</v>
      </c>
      <c r="W16">
        <f t="shared" si="4"/>
        <v>20024.549999999988</v>
      </c>
      <c r="X16">
        <v>263150</v>
      </c>
      <c r="Y16" s="4">
        <f t="shared" si="5"/>
        <v>0.51753498004940157</v>
      </c>
      <c r="Z16">
        <v>0.54</v>
      </c>
      <c r="AA16">
        <v>0.14000000000000001</v>
      </c>
      <c r="AB16">
        <v>0.21999999999999997</v>
      </c>
      <c r="AC16" s="4">
        <f t="shared" si="6"/>
        <v>1.9012544377798193</v>
      </c>
      <c r="AD16">
        <v>1.5</v>
      </c>
      <c r="AE16">
        <v>0.60000000000000009</v>
      </c>
      <c r="AF16">
        <v>0.79999999999999982</v>
      </c>
      <c r="AG16" s="4">
        <f t="shared" si="7"/>
        <v>0.80494630438913162</v>
      </c>
      <c r="AH16" s="4">
        <f t="shared" si="8"/>
        <v>0.51753498004940157</v>
      </c>
      <c r="AI16" s="4">
        <f t="shared" si="9"/>
        <v>7.6095572867185976E-2</v>
      </c>
      <c r="AJ16" s="4">
        <f t="shared" si="10"/>
        <v>0.21131575147254414</v>
      </c>
      <c r="AK16" s="4">
        <f t="shared" si="11"/>
        <v>0.26252154997209443</v>
      </c>
    </row>
    <row r="17" spans="1:37" x14ac:dyDescent="0.35">
      <c r="A17" s="2">
        <v>43922</v>
      </c>
      <c r="B17">
        <v>191940.5</v>
      </c>
      <c r="C17">
        <v>0</v>
      </c>
      <c r="D17">
        <v>0</v>
      </c>
      <c r="E17">
        <v>77507.38</v>
      </c>
      <c r="F17" s="1">
        <f t="shared" si="0"/>
        <v>269447.88</v>
      </c>
      <c r="G17">
        <v>8591.07</v>
      </c>
      <c r="H17">
        <v>5203.72</v>
      </c>
      <c r="I17">
        <v>3376.78</v>
      </c>
      <c r="J17">
        <v>8914.81</v>
      </c>
      <c r="K17">
        <v>45802.17</v>
      </c>
      <c r="L17">
        <v>11033.79</v>
      </c>
      <c r="M17">
        <v>1825.15</v>
      </c>
      <c r="N17">
        <v>6940.99</v>
      </c>
      <c r="O17">
        <v>4470.6299999999992</v>
      </c>
      <c r="P17">
        <v>102629.69</v>
      </c>
      <c r="Q17">
        <v>2410</v>
      </c>
      <c r="R17">
        <v>337.5</v>
      </c>
      <c r="S17">
        <v>0</v>
      </c>
      <c r="T17" s="1">
        <f t="shared" si="1"/>
        <v>201536.3</v>
      </c>
      <c r="U17">
        <f t="shared" si="2"/>
        <v>67911.580000000016</v>
      </c>
      <c r="V17">
        <f t="shared" si="3"/>
        <v>139498.41</v>
      </c>
      <c r="W17">
        <f t="shared" si="4"/>
        <v>62037.889999999985</v>
      </c>
      <c r="X17">
        <v>262934</v>
      </c>
      <c r="Y17" s="4">
        <f t="shared" si="5"/>
        <v>0.53054534598036007</v>
      </c>
      <c r="Z17">
        <v>0.54</v>
      </c>
      <c r="AA17">
        <v>0.14000000000000001</v>
      </c>
      <c r="AB17">
        <v>0.21999999999999997</v>
      </c>
      <c r="AC17" s="4">
        <f t="shared" si="6"/>
        <v>1.8702239088903025</v>
      </c>
      <c r="AD17">
        <v>1.5</v>
      </c>
      <c r="AE17">
        <v>0.60000000000000009</v>
      </c>
      <c r="AF17">
        <v>0.79999999999999982</v>
      </c>
      <c r="AG17" s="4">
        <f t="shared" si="7"/>
        <v>1.0247738215673896</v>
      </c>
      <c r="AH17" s="4">
        <f t="shared" si="8"/>
        <v>0.53054534598036007</v>
      </c>
      <c r="AI17" s="4">
        <f t="shared" si="9"/>
        <v>0.2359447237709843</v>
      </c>
      <c r="AJ17" s="4">
        <f t="shared" si="10"/>
        <v>0.25828375181604513</v>
      </c>
      <c r="AK17" s="4">
        <f t="shared" si="11"/>
        <v>0.25203976368268333</v>
      </c>
    </row>
    <row r="18" spans="1:37" x14ac:dyDescent="0.35">
      <c r="A18" s="2">
        <v>43952</v>
      </c>
      <c r="B18">
        <v>195494.1</v>
      </c>
      <c r="C18">
        <v>0</v>
      </c>
      <c r="D18">
        <v>0</v>
      </c>
      <c r="E18">
        <v>0</v>
      </c>
      <c r="F18" s="1">
        <f t="shared" si="0"/>
        <v>195494.1</v>
      </c>
      <c r="G18">
        <v>1445.7099999999998</v>
      </c>
      <c r="H18">
        <v>4960.53</v>
      </c>
      <c r="I18">
        <v>986.64999999999986</v>
      </c>
      <c r="J18">
        <v>8828.92</v>
      </c>
      <c r="K18">
        <v>22463.23</v>
      </c>
      <c r="L18">
        <v>989.05</v>
      </c>
      <c r="M18">
        <v>1833.3500000000001</v>
      </c>
      <c r="N18">
        <v>3943.42</v>
      </c>
      <c r="O18">
        <v>4368.45</v>
      </c>
      <c r="P18">
        <v>112568.54999999999</v>
      </c>
      <c r="Q18">
        <v>1210.52</v>
      </c>
      <c r="R18">
        <v>88.8</v>
      </c>
      <c r="S18">
        <v>0</v>
      </c>
      <c r="T18" s="1">
        <f t="shared" si="1"/>
        <v>163687.17999999996</v>
      </c>
      <c r="U18">
        <f t="shared" si="2"/>
        <v>31806.920000000042</v>
      </c>
      <c r="V18">
        <f t="shared" si="3"/>
        <v>137414.89999999997</v>
      </c>
      <c r="W18">
        <f t="shared" si="4"/>
        <v>26272.28</v>
      </c>
      <c r="X18">
        <v>277467</v>
      </c>
      <c r="Y18" s="4">
        <f t="shared" si="5"/>
        <v>0.49524772315266308</v>
      </c>
      <c r="Z18">
        <v>0.54</v>
      </c>
      <c r="AA18">
        <v>0.14000000000000001</v>
      </c>
      <c r="AB18">
        <v>0.21999999999999997</v>
      </c>
      <c r="AC18" s="4">
        <f t="shared" si="6"/>
        <v>1.7366671241656753</v>
      </c>
      <c r="AD18">
        <v>1.5</v>
      </c>
      <c r="AE18">
        <v>0.60000000000000009</v>
      </c>
      <c r="AF18">
        <v>0.79999999999999982</v>
      </c>
      <c r="AG18" s="4">
        <f t="shared" si="7"/>
        <v>0.70456702959270834</v>
      </c>
      <c r="AH18" s="4">
        <f t="shared" si="8"/>
        <v>0.49524772315266308</v>
      </c>
      <c r="AI18" s="4">
        <f t="shared" si="9"/>
        <v>9.4686142856627992E-2</v>
      </c>
      <c r="AJ18" s="4">
        <f t="shared" si="10"/>
        <v>0.11463316358341728</v>
      </c>
      <c r="AK18" s="4">
        <f t="shared" si="11"/>
        <v>0.16270015309924976</v>
      </c>
    </row>
    <row r="19" spans="1:37" x14ac:dyDescent="0.35">
      <c r="A19" s="2">
        <v>43983</v>
      </c>
      <c r="B19">
        <v>182240.64000000001</v>
      </c>
      <c r="C19">
        <v>2759.5</v>
      </c>
      <c r="D19">
        <v>1956</v>
      </c>
      <c r="E19">
        <v>27349.89</v>
      </c>
      <c r="F19" s="1">
        <f t="shared" si="0"/>
        <v>214306.03000000003</v>
      </c>
      <c r="G19">
        <v>4325.13</v>
      </c>
      <c r="H19">
        <v>4776.49</v>
      </c>
      <c r="I19">
        <v>205.87</v>
      </c>
      <c r="J19">
        <v>8833.2999999999993</v>
      </c>
      <c r="K19">
        <v>22463.22</v>
      </c>
      <c r="L19">
        <v>5160.41</v>
      </c>
      <c r="M19">
        <v>1841.1699999999998</v>
      </c>
      <c r="N19">
        <v>3554.24</v>
      </c>
      <c r="O19">
        <v>4691.4400000000005</v>
      </c>
      <c r="P19">
        <v>110277.73</v>
      </c>
      <c r="Q19">
        <v>1132.48</v>
      </c>
      <c r="R19">
        <v>0</v>
      </c>
      <c r="S19">
        <v>746.17000000000007</v>
      </c>
      <c r="T19" s="1">
        <f t="shared" si="1"/>
        <v>168007.65000000002</v>
      </c>
      <c r="U19">
        <f t="shared" si="2"/>
        <v>46298.380000000005</v>
      </c>
      <c r="V19">
        <f t="shared" si="3"/>
        <v>138336.98000000001</v>
      </c>
      <c r="W19">
        <f t="shared" si="4"/>
        <v>29670.670000000013</v>
      </c>
      <c r="X19">
        <v>253112</v>
      </c>
      <c r="Y19" s="4">
        <f t="shared" si="5"/>
        <v>0.54654453364518474</v>
      </c>
      <c r="Z19">
        <v>0.54</v>
      </c>
      <c r="AA19">
        <v>0.14000000000000001</v>
      </c>
      <c r="AB19">
        <v>0.21999999999999997</v>
      </c>
      <c r="AC19" s="4">
        <f t="shared" si="6"/>
        <v>1.6525606756686053</v>
      </c>
      <c r="AD19">
        <v>1.5</v>
      </c>
      <c r="AE19">
        <v>0.60000000000000009</v>
      </c>
      <c r="AF19">
        <v>0.79999999999999982</v>
      </c>
      <c r="AG19" s="4">
        <f t="shared" si="7"/>
        <v>0.84668459022093001</v>
      </c>
      <c r="AH19" s="4">
        <f t="shared" si="8"/>
        <v>0.54654453364518474</v>
      </c>
      <c r="AI19" s="4">
        <f t="shared" si="9"/>
        <v>0.11722348209488295</v>
      </c>
      <c r="AJ19" s="4">
        <f t="shared" si="10"/>
        <v>0.18291657448086224</v>
      </c>
      <c r="AK19" s="4">
        <f t="shared" si="11"/>
        <v>0.21603862476478147</v>
      </c>
    </row>
    <row r="20" spans="1:37" x14ac:dyDescent="0.35">
      <c r="A20" s="2">
        <v>44013</v>
      </c>
      <c r="B20">
        <v>192001.68</v>
      </c>
      <c r="C20">
        <v>0</v>
      </c>
      <c r="D20">
        <v>0</v>
      </c>
      <c r="E20">
        <v>0</v>
      </c>
      <c r="F20" s="1">
        <f t="shared" si="0"/>
        <v>192001.68</v>
      </c>
      <c r="G20">
        <v>2684.7200000000003</v>
      </c>
      <c r="H20">
        <v>5976.9</v>
      </c>
      <c r="I20">
        <v>799.94</v>
      </c>
      <c r="J20">
        <v>8837.67</v>
      </c>
      <c r="K20">
        <v>22463.23</v>
      </c>
      <c r="L20">
        <v>11120.2</v>
      </c>
      <c r="M20">
        <v>3949.4799999999996</v>
      </c>
      <c r="N20">
        <v>4004.41</v>
      </c>
      <c r="O20">
        <v>11637.07</v>
      </c>
      <c r="P20">
        <v>111715.26000000001</v>
      </c>
      <c r="Q20">
        <v>307</v>
      </c>
      <c r="R20">
        <v>26.25</v>
      </c>
      <c r="S20">
        <v>0</v>
      </c>
      <c r="T20" s="1">
        <f t="shared" si="1"/>
        <v>183522.13</v>
      </c>
      <c r="U20">
        <f t="shared" si="2"/>
        <v>8479.5499999999884</v>
      </c>
      <c r="V20">
        <f t="shared" si="3"/>
        <v>145189.28000000003</v>
      </c>
      <c r="W20">
        <f t="shared" si="4"/>
        <v>38332.849999999977</v>
      </c>
      <c r="X20">
        <v>269669</v>
      </c>
      <c r="Y20" s="4">
        <f t="shared" si="5"/>
        <v>0.53839811027593099</v>
      </c>
      <c r="Z20">
        <v>0.54</v>
      </c>
      <c r="AA20">
        <v>0.14000000000000001</v>
      </c>
      <c r="AB20">
        <v>0.21999999999999997</v>
      </c>
      <c r="AC20" s="4">
        <f t="shared" si="6"/>
        <v>1.7186701261761372</v>
      </c>
      <c r="AD20">
        <v>1.5</v>
      </c>
      <c r="AE20">
        <v>0.60000000000000009</v>
      </c>
      <c r="AF20">
        <v>0.79999999999999982</v>
      </c>
      <c r="AG20" s="4">
        <f t="shared" si="7"/>
        <v>0.71199018055468</v>
      </c>
      <c r="AH20" s="4">
        <f t="shared" si="8"/>
        <v>0.53839811027593099</v>
      </c>
      <c r="AI20" s="4">
        <f t="shared" si="9"/>
        <v>0.14214778116876606</v>
      </c>
      <c r="AJ20" s="4">
        <f t="shared" si="10"/>
        <v>3.1444289109982933E-2</v>
      </c>
      <c r="AK20" s="4">
        <f t="shared" si="11"/>
        <v>4.4163936482222388E-2</v>
      </c>
    </row>
    <row r="21" spans="1:37" x14ac:dyDescent="0.35">
      <c r="A21" s="2">
        <v>44044</v>
      </c>
      <c r="B21">
        <v>202282.56</v>
      </c>
      <c r="C21">
        <v>0</v>
      </c>
      <c r="D21">
        <v>0</v>
      </c>
      <c r="E21">
        <v>25000</v>
      </c>
      <c r="F21" s="1">
        <f t="shared" si="0"/>
        <v>227282.56</v>
      </c>
      <c r="G21">
        <v>2047.75</v>
      </c>
      <c r="H21">
        <v>6236.58</v>
      </c>
      <c r="I21">
        <v>170.92</v>
      </c>
      <c r="J21">
        <v>8558.5</v>
      </c>
      <c r="K21">
        <v>38614.620000000003</v>
      </c>
      <c r="L21">
        <v>679.18999999999994</v>
      </c>
      <c r="M21">
        <v>9247.39</v>
      </c>
      <c r="N21">
        <v>4758.1000000000004</v>
      </c>
      <c r="O21">
        <v>1736.79</v>
      </c>
      <c r="P21">
        <v>121174.45</v>
      </c>
      <c r="Q21">
        <v>326</v>
      </c>
      <c r="R21">
        <v>0</v>
      </c>
      <c r="S21">
        <v>720</v>
      </c>
      <c r="T21" s="1">
        <f t="shared" si="1"/>
        <v>194270.29</v>
      </c>
      <c r="U21">
        <f t="shared" si="2"/>
        <v>33012.26999999999</v>
      </c>
      <c r="V21">
        <f t="shared" si="3"/>
        <v>145558.16999999998</v>
      </c>
      <c r="W21">
        <f t="shared" si="4"/>
        <v>48712.120000000024</v>
      </c>
      <c r="X21">
        <v>280948</v>
      </c>
      <c r="Y21" s="4">
        <f t="shared" si="5"/>
        <v>0.51809648048749224</v>
      </c>
      <c r="Z21">
        <v>0.54</v>
      </c>
      <c r="AA21">
        <v>0.14000000000000001</v>
      </c>
      <c r="AB21">
        <v>0.21999999999999997</v>
      </c>
      <c r="AC21" s="4">
        <f t="shared" si="6"/>
        <v>1.6693499330923309</v>
      </c>
      <c r="AD21">
        <v>1.5</v>
      </c>
      <c r="AE21">
        <v>0.60000000000000009</v>
      </c>
      <c r="AF21">
        <v>0.79999999999999982</v>
      </c>
      <c r="AG21" s="4">
        <f t="shared" si="7"/>
        <v>0.80898443840141232</v>
      </c>
      <c r="AH21" s="4">
        <f t="shared" si="8"/>
        <v>0.51809648048749224</v>
      </c>
      <c r="AI21" s="4">
        <f t="shared" si="9"/>
        <v>0.17338482566168836</v>
      </c>
      <c r="AJ21" s="4">
        <f t="shared" si="10"/>
        <v>0.11750313225223169</v>
      </c>
      <c r="AK21" s="4">
        <f t="shared" si="11"/>
        <v>0.14524770400333395</v>
      </c>
    </row>
    <row r="22" spans="1:37" x14ac:dyDescent="0.35">
      <c r="A22" s="2">
        <v>44075</v>
      </c>
      <c r="B22">
        <v>184525.92</v>
      </c>
      <c r="C22">
        <v>0</v>
      </c>
      <c r="D22">
        <v>0</v>
      </c>
      <c r="E22">
        <v>10419.689999999999</v>
      </c>
      <c r="F22" s="1">
        <f t="shared" si="0"/>
        <v>194945.61000000002</v>
      </c>
      <c r="G22">
        <v>1221.3</v>
      </c>
      <c r="H22">
        <v>4458.3900000000003</v>
      </c>
      <c r="I22">
        <v>2561.5300000000002</v>
      </c>
      <c r="J22">
        <v>7262.09</v>
      </c>
      <c r="K22">
        <v>26665.760000000002</v>
      </c>
      <c r="L22">
        <v>5368.49</v>
      </c>
      <c r="M22">
        <v>9043.98</v>
      </c>
      <c r="N22">
        <v>3469.62</v>
      </c>
      <c r="O22">
        <v>3408.29</v>
      </c>
      <c r="P22">
        <v>125576.54999999999</v>
      </c>
      <c r="Q22">
        <v>992</v>
      </c>
      <c r="R22">
        <v>0</v>
      </c>
      <c r="S22">
        <v>759.84</v>
      </c>
      <c r="T22" s="1">
        <f t="shared" si="1"/>
        <v>190787.84</v>
      </c>
      <c r="U22">
        <f t="shared" si="2"/>
        <v>4157.7700000000186</v>
      </c>
      <c r="V22">
        <f t="shared" si="3"/>
        <v>147148.07999999999</v>
      </c>
      <c r="W22">
        <f t="shared" si="4"/>
        <v>43639.760000000009</v>
      </c>
      <c r="X22">
        <v>256286</v>
      </c>
      <c r="Y22" s="4">
        <f t="shared" si="5"/>
        <v>0.57415574787542034</v>
      </c>
      <c r="Z22">
        <v>0.54</v>
      </c>
      <c r="AA22">
        <v>0.14000000000000001</v>
      </c>
      <c r="AB22">
        <v>0.21999999999999997</v>
      </c>
      <c r="AC22" s="4">
        <f t="shared" si="6"/>
        <v>1.4694297621649903</v>
      </c>
      <c r="AD22">
        <v>1.5</v>
      </c>
      <c r="AE22">
        <v>0.60000000000000009</v>
      </c>
      <c r="AF22">
        <v>0.79999999999999982</v>
      </c>
      <c r="AG22" s="4">
        <f t="shared" si="7"/>
        <v>0.76065649313657402</v>
      </c>
      <c r="AH22" s="4">
        <f t="shared" si="8"/>
        <v>0.57415574787542034</v>
      </c>
      <c r="AI22" s="4">
        <f t="shared" si="9"/>
        <v>0.17027758051551786</v>
      </c>
      <c r="AJ22" s="4">
        <f t="shared" si="10"/>
        <v>1.6223164745635808E-2</v>
      </c>
      <c r="AK22" s="4">
        <f t="shared" si="11"/>
        <v>2.1327846264401738E-2</v>
      </c>
    </row>
    <row r="23" spans="1:37" x14ac:dyDescent="0.35">
      <c r="A23" s="2">
        <v>44105</v>
      </c>
      <c r="B23">
        <v>180128.59</v>
      </c>
      <c r="C23">
        <v>0</v>
      </c>
      <c r="D23">
        <v>0</v>
      </c>
      <c r="E23">
        <v>9000</v>
      </c>
      <c r="F23" s="1">
        <f t="shared" si="0"/>
        <v>189128.59</v>
      </c>
      <c r="G23">
        <v>4226.18</v>
      </c>
      <c r="H23">
        <v>4994.34</v>
      </c>
      <c r="I23">
        <v>2622.8500000000004</v>
      </c>
      <c r="J23">
        <v>8837.66</v>
      </c>
      <c r="K23">
        <v>27760.7</v>
      </c>
      <c r="L23">
        <v>4333.57</v>
      </c>
      <c r="M23">
        <v>9054.8700000000008</v>
      </c>
      <c r="N23">
        <v>4387.16</v>
      </c>
      <c r="O23">
        <v>2752.19</v>
      </c>
      <c r="P23">
        <v>122604.68000000001</v>
      </c>
      <c r="Q23">
        <v>1174</v>
      </c>
      <c r="R23">
        <v>0</v>
      </c>
      <c r="S23">
        <v>0</v>
      </c>
      <c r="T23" s="1">
        <f t="shared" si="1"/>
        <v>192748.2</v>
      </c>
      <c r="U23">
        <f t="shared" si="2"/>
        <v>-3619.6100000000151</v>
      </c>
      <c r="V23">
        <f t="shared" si="3"/>
        <v>148976.21000000002</v>
      </c>
      <c r="W23">
        <f t="shared" si="4"/>
        <v>43771.989999999991</v>
      </c>
      <c r="X23">
        <v>246557</v>
      </c>
      <c r="Y23" s="4">
        <f t="shared" si="5"/>
        <v>0.60422624383002721</v>
      </c>
      <c r="Z23">
        <v>0.54</v>
      </c>
      <c r="AA23">
        <v>0.14000000000000001</v>
      </c>
      <c r="AB23">
        <v>0.21999999999999997</v>
      </c>
      <c r="AC23" s="4">
        <f t="shared" si="6"/>
        <v>1.4691820083866292</v>
      </c>
      <c r="AD23">
        <v>1.5</v>
      </c>
      <c r="AE23">
        <v>0.60000000000000009</v>
      </c>
      <c r="AF23">
        <v>0.79999999999999982</v>
      </c>
      <c r="AG23" s="4">
        <f t="shared" si="7"/>
        <v>0.76707856601110491</v>
      </c>
      <c r="AH23" s="4">
        <f t="shared" si="8"/>
        <v>0.60422624383002721</v>
      </c>
      <c r="AI23" s="4">
        <f t="shared" si="9"/>
        <v>0.17753294370064526</v>
      </c>
      <c r="AJ23" s="4">
        <f t="shared" si="10"/>
        <v>-1.4680621519567545E-2</v>
      </c>
      <c r="AK23" s="4">
        <f t="shared" si="11"/>
        <v>-1.9138354492041713E-2</v>
      </c>
    </row>
    <row r="24" spans="1:37" x14ac:dyDescent="0.35">
      <c r="A24" s="2">
        <v>44136</v>
      </c>
      <c r="B24">
        <v>160696</v>
      </c>
      <c r="C24">
        <v>21950</v>
      </c>
      <c r="D24">
        <v>1400</v>
      </c>
      <c r="E24">
        <v>24362.2</v>
      </c>
      <c r="F24" s="1">
        <f t="shared" si="0"/>
        <v>208408.2</v>
      </c>
      <c r="G24">
        <v>2407.4700000000003</v>
      </c>
      <c r="H24">
        <v>5386.1</v>
      </c>
      <c r="I24">
        <v>2967.8100000000004</v>
      </c>
      <c r="J24">
        <v>9746.25</v>
      </c>
      <c r="K24">
        <v>19523</v>
      </c>
      <c r="L24">
        <v>769.87</v>
      </c>
      <c r="M24">
        <v>9065.89</v>
      </c>
      <c r="N24">
        <v>4498.93</v>
      </c>
      <c r="O24">
        <v>4416.84</v>
      </c>
      <c r="P24">
        <v>117466.68000000001</v>
      </c>
      <c r="Q24">
        <v>6822.2</v>
      </c>
      <c r="R24">
        <v>340</v>
      </c>
      <c r="S24">
        <v>6920.13</v>
      </c>
      <c r="T24" s="1">
        <f t="shared" si="1"/>
        <v>190331.17000000004</v>
      </c>
      <c r="U24">
        <f t="shared" si="2"/>
        <v>18077.02999999997</v>
      </c>
      <c r="V24">
        <f t="shared" si="3"/>
        <v>158004.60000000003</v>
      </c>
      <c r="W24">
        <f t="shared" si="4"/>
        <v>32326.570000000007</v>
      </c>
      <c r="X24">
        <v>214262</v>
      </c>
      <c r="Y24" s="4">
        <f t="shared" si="5"/>
        <v>0.73743640962933243</v>
      </c>
      <c r="Z24">
        <v>0.54</v>
      </c>
      <c r="AA24">
        <v>0.14000000000000001</v>
      </c>
      <c r="AB24">
        <v>0.21999999999999997</v>
      </c>
      <c r="AC24" s="4">
        <f t="shared" si="6"/>
        <v>1.3680134656057359</v>
      </c>
      <c r="AD24">
        <v>1.5</v>
      </c>
      <c r="AE24">
        <v>0.60000000000000009</v>
      </c>
      <c r="AF24">
        <v>0.79999999999999982</v>
      </c>
      <c r="AG24" s="4">
        <f t="shared" si="7"/>
        <v>0.97267924316957743</v>
      </c>
      <c r="AH24" s="4">
        <f t="shared" si="8"/>
        <v>0.73743640962933243</v>
      </c>
      <c r="AI24" s="4">
        <f t="shared" si="9"/>
        <v>0.15087402339192207</v>
      </c>
      <c r="AJ24" s="4">
        <f t="shared" si="10"/>
        <v>8.436881014832294E-2</v>
      </c>
      <c r="AK24" s="4">
        <f t="shared" si="11"/>
        <v>8.673857362618155E-2</v>
      </c>
    </row>
    <row r="25" spans="1:37" x14ac:dyDescent="0.35">
      <c r="A25" s="2">
        <v>44166</v>
      </c>
      <c r="B25">
        <v>157221</v>
      </c>
      <c r="C25">
        <v>3900</v>
      </c>
      <c r="D25">
        <v>0</v>
      </c>
      <c r="E25">
        <v>261816.16</v>
      </c>
      <c r="F25" s="1">
        <f t="shared" si="0"/>
        <v>422937.16000000003</v>
      </c>
      <c r="G25">
        <v>1771.1499999999999</v>
      </c>
      <c r="H25">
        <v>6030.4</v>
      </c>
      <c r="I25">
        <v>5206.4999999999991</v>
      </c>
      <c r="J25">
        <v>8842.0400000000009</v>
      </c>
      <c r="K25">
        <v>19523</v>
      </c>
      <c r="L25">
        <v>5331.1200000000008</v>
      </c>
      <c r="M25">
        <v>3994.3700000000003</v>
      </c>
      <c r="N25">
        <v>4630.7</v>
      </c>
      <c r="O25">
        <v>3677.91</v>
      </c>
      <c r="P25">
        <v>112756.64</v>
      </c>
      <c r="Q25">
        <v>2355.48</v>
      </c>
      <c r="R25">
        <v>2</v>
      </c>
      <c r="S25">
        <v>1758.32</v>
      </c>
      <c r="T25" s="1">
        <f t="shared" si="1"/>
        <v>175879.63000000003</v>
      </c>
      <c r="U25">
        <f t="shared" si="2"/>
        <v>247057.53</v>
      </c>
      <c r="V25">
        <f t="shared" si="3"/>
        <v>141824.64000000001</v>
      </c>
      <c r="W25">
        <f t="shared" si="4"/>
        <v>34054.99000000002</v>
      </c>
      <c r="X25">
        <v>209629</v>
      </c>
      <c r="Y25" s="4">
        <f t="shared" si="5"/>
        <v>0.6765506680850456</v>
      </c>
      <c r="Z25">
        <v>0.54</v>
      </c>
      <c r="AA25">
        <v>0.14000000000000001</v>
      </c>
      <c r="AB25">
        <v>0.21999999999999997</v>
      </c>
      <c r="AC25" s="4">
        <f t="shared" si="6"/>
        <v>1.3943391715113185</v>
      </c>
      <c r="AD25">
        <v>1.5</v>
      </c>
      <c r="AE25">
        <v>0.60000000000000009</v>
      </c>
      <c r="AF25">
        <v>0.79999999999999982</v>
      </c>
      <c r="AG25" s="4">
        <f t="shared" si="7"/>
        <v>2.0175508159653486</v>
      </c>
      <c r="AH25" s="4">
        <f t="shared" si="8"/>
        <v>0.6765506680850456</v>
      </c>
      <c r="AI25" s="4">
        <f t="shared" si="9"/>
        <v>0.1624536204437364</v>
      </c>
      <c r="AJ25" s="4">
        <f t="shared" si="10"/>
        <v>1.1785465274365665</v>
      </c>
      <c r="AK25" s="4">
        <f t="shared" si="11"/>
        <v>0.58414713429295262</v>
      </c>
    </row>
    <row r="26" spans="1:37" x14ac:dyDescent="0.35">
      <c r="A26" s="2">
        <v>44197</v>
      </c>
      <c r="B26">
        <v>182567</v>
      </c>
      <c r="C26">
        <v>4860</v>
      </c>
      <c r="D26">
        <v>0</v>
      </c>
      <c r="E26">
        <v>3391.5</v>
      </c>
      <c r="F26" s="1">
        <f t="shared" si="0"/>
        <v>190818.5</v>
      </c>
      <c r="G26">
        <v>2706.12</v>
      </c>
      <c r="H26">
        <v>5940.77</v>
      </c>
      <c r="I26">
        <v>0</v>
      </c>
      <c r="J26">
        <v>9410.8100000000013</v>
      </c>
      <c r="K26">
        <v>4750</v>
      </c>
      <c r="L26">
        <v>1174.33</v>
      </c>
      <c r="M26">
        <v>2585.23</v>
      </c>
      <c r="N26">
        <v>7354.38</v>
      </c>
      <c r="O26">
        <v>2752.98</v>
      </c>
      <c r="P26">
        <v>101570.94</v>
      </c>
      <c r="Q26">
        <v>0</v>
      </c>
      <c r="R26">
        <v>586.5</v>
      </c>
      <c r="S26">
        <v>170</v>
      </c>
      <c r="T26" s="1">
        <f t="shared" si="1"/>
        <v>139002.06</v>
      </c>
      <c r="U26">
        <f t="shared" si="2"/>
        <v>51816.44</v>
      </c>
      <c r="V26">
        <f t="shared" si="3"/>
        <v>130492.5</v>
      </c>
      <c r="W26">
        <f t="shared" si="4"/>
        <v>8509.5599999999977</v>
      </c>
      <c r="X26">
        <v>243423</v>
      </c>
      <c r="Y26" s="4">
        <f t="shared" si="5"/>
        <v>0.53607300871322761</v>
      </c>
      <c r="Z26">
        <v>0.54</v>
      </c>
      <c r="AA26">
        <v>0.14000000000000001</v>
      </c>
      <c r="AB26">
        <v>0.21999999999999997</v>
      </c>
      <c r="AC26" s="4">
        <f t="shared" si="6"/>
        <v>1.7974333997499679</v>
      </c>
      <c r="AD26">
        <v>1.5</v>
      </c>
      <c r="AE26">
        <v>0.60000000000000009</v>
      </c>
      <c r="AF26">
        <v>0.79999999999999982</v>
      </c>
      <c r="AG26" s="4">
        <f t="shared" si="7"/>
        <v>0.78389675585298024</v>
      </c>
      <c r="AH26" s="4">
        <f t="shared" si="8"/>
        <v>0.53607300871322761</v>
      </c>
      <c r="AI26" s="4">
        <f t="shared" si="9"/>
        <v>3.4957912769130267E-2</v>
      </c>
      <c r="AJ26" s="4">
        <f t="shared" si="10"/>
        <v>0.21286583437062234</v>
      </c>
      <c r="AK26" s="4">
        <f t="shared" si="11"/>
        <v>0.27154830375461497</v>
      </c>
    </row>
    <row r="27" spans="1:37" x14ac:dyDescent="0.35">
      <c r="A27" s="2">
        <v>44228</v>
      </c>
      <c r="B27">
        <v>186699.75</v>
      </c>
      <c r="C27">
        <v>0</v>
      </c>
      <c r="D27">
        <v>0</v>
      </c>
      <c r="E27">
        <v>6460</v>
      </c>
      <c r="F27" s="1">
        <f t="shared" si="0"/>
        <v>193159.75</v>
      </c>
      <c r="G27">
        <v>2323.75</v>
      </c>
      <c r="H27">
        <v>5290.04</v>
      </c>
      <c r="I27">
        <v>577.96</v>
      </c>
      <c r="J27">
        <v>9980.1200000000008</v>
      </c>
      <c r="K27">
        <v>19523</v>
      </c>
      <c r="L27">
        <v>3281.8999999999996</v>
      </c>
      <c r="M27">
        <v>2596.3199999999997</v>
      </c>
      <c r="N27">
        <v>8354.6299999999992</v>
      </c>
      <c r="O27">
        <v>4548.46</v>
      </c>
      <c r="P27">
        <v>116815</v>
      </c>
      <c r="Q27">
        <v>0</v>
      </c>
      <c r="R27">
        <v>0</v>
      </c>
      <c r="S27">
        <v>388.49</v>
      </c>
      <c r="T27" s="1">
        <f t="shared" si="1"/>
        <v>173679.66999999998</v>
      </c>
      <c r="U27">
        <f t="shared" si="2"/>
        <v>19480.080000000016</v>
      </c>
      <c r="V27">
        <f t="shared" si="3"/>
        <v>147700.49</v>
      </c>
      <c r="W27">
        <f t="shared" si="4"/>
        <v>25979.179999999993</v>
      </c>
      <c r="X27">
        <v>248933</v>
      </c>
      <c r="Y27" s="4">
        <f t="shared" si="5"/>
        <v>0.5933343108386594</v>
      </c>
      <c r="Z27">
        <v>0.54</v>
      </c>
      <c r="AA27">
        <v>0.14000000000000001</v>
      </c>
      <c r="AB27">
        <v>0.21999999999999997</v>
      </c>
      <c r="AC27" s="4">
        <f t="shared" si="6"/>
        <v>1.5982515087959595</v>
      </c>
      <c r="AD27">
        <v>1.5</v>
      </c>
      <c r="AE27">
        <v>0.60000000000000009</v>
      </c>
      <c r="AF27">
        <v>0.79999999999999982</v>
      </c>
      <c r="AG27" s="4">
        <f t="shared" si="7"/>
        <v>0.77595075783443734</v>
      </c>
      <c r="AH27" s="4">
        <f t="shared" si="8"/>
        <v>0.5933343108386594</v>
      </c>
      <c r="AI27" s="4">
        <f t="shared" si="9"/>
        <v>0.10436213760329081</v>
      </c>
      <c r="AJ27" s="4">
        <f t="shared" si="10"/>
        <v>7.8254309392487204E-2</v>
      </c>
      <c r="AK27" s="4">
        <f t="shared" si="11"/>
        <v>0.10084958175810445</v>
      </c>
    </row>
    <row r="28" spans="1:37" x14ac:dyDescent="0.35">
      <c r="A28" s="2">
        <v>44256</v>
      </c>
      <c r="B28">
        <v>211971.75</v>
      </c>
      <c r="C28">
        <v>0</v>
      </c>
      <c r="D28">
        <v>0</v>
      </c>
      <c r="E28">
        <v>4392.5200000000004</v>
      </c>
      <c r="F28" s="1">
        <f t="shared" si="0"/>
        <v>216364.27</v>
      </c>
      <c r="G28">
        <v>2130.94</v>
      </c>
      <c r="H28">
        <v>6089.05</v>
      </c>
      <c r="I28">
        <v>502.14</v>
      </c>
      <c r="J28">
        <v>9573.2099999999991</v>
      </c>
      <c r="K28">
        <v>18447.12</v>
      </c>
      <c r="L28">
        <v>1480.9299999999998</v>
      </c>
      <c r="M28">
        <v>2607.4500000000003</v>
      </c>
      <c r="N28">
        <v>8433.39</v>
      </c>
      <c r="O28">
        <v>6025.95</v>
      </c>
      <c r="P28">
        <v>148100.22</v>
      </c>
      <c r="Q28">
        <v>0</v>
      </c>
      <c r="R28">
        <v>0</v>
      </c>
      <c r="S28">
        <v>1040</v>
      </c>
      <c r="T28" s="1">
        <f t="shared" si="1"/>
        <v>204430.4</v>
      </c>
      <c r="U28">
        <f t="shared" si="2"/>
        <v>11933.869999999995</v>
      </c>
      <c r="V28">
        <f t="shared" si="3"/>
        <v>181392.76</v>
      </c>
      <c r="W28">
        <f t="shared" si="4"/>
        <v>23037.639999999985</v>
      </c>
      <c r="X28">
        <v>282629</v>
      </c>
      <c r="Y28" s="4">
        <f t="shared" si="5"/>
        <v>0.64180519338072173</v>
      </c>
      <c r="Z28">
        <v>0.54</v>
      </c>
      <c r="AA28">
        <v>0.14000000000000001</v>
      </c>
      <c r="AB28">
        <v>0.21999999999999997</v>
      </c>
      <c r="AC28" s="4">
        <f t="shared" si="6"/>
        <v>1.4312723505744962</v>
      </c>
      <c r="AD28">
        <v>1.5</v>
      </c>
      <c r="AE28">
        <v>0.60000000000000009</v>
      </c>
      <c r="AF28">
        <v>0.79999999999999982</v>
      </c>
      <c r="AG28" s="4">
        <f t="shared" si="7"/>
        <v>0.76554164646939982</v>
      </c>
      <c r="AH28" s="4">
        <f t="shared" si="8"/>
        <v>0.64180519338072173</v>
      </c>
      <c r="AI28" s="4">
        <f t="shared" si="9"/>
        <v>8.1511946757056017E-2</v>
      </c>
      <c r="AJ28" s="4">
        <f t="shared" si="10"/>
        <v>4.2224506331622003E-2</v>
      </c>
      <c r="AK28" s="4">
        <f t="shared" si="11"/>
        <v>5.5156380487406703E-2</v>
      </c>
    </row>
    <row r="29" spans="1:37" x14ac:dyDescent="0.35">
      <c r="A29" s="2">
        <v>44287</v>
      </c>
      <c r="B29">
        <v>201074.25</v>
      </c>
      <c r="C29">
        <v>0</v>
      </c>
      <c r="D29">
        <v>2000</v>
      </c>
      <c r="E29">
        <v>76229.03</v>
      </c>
      <c r="F29" s="1">
        <f t="shared" si="0"/>
        <v>279303.28000000003</v>
      </c>
      <c r="G29">
        <v>2745.56</v>
      </c>
      <c r="H29">
        <v>5549.91</v>
      </c>
      <c r="I29">
        <v>563.68000000000006</v>
      </c>
      <c r="J29">
        <v>8886.51</v>
      </c>
      <c r="K29">
        <v>20598.879999999997</v>
      </c>
      <c r="L29">
        <v>1932.8300000000002</v>
      </c>
      <c r="M29">
        <v>2618.62</v>
      </c>
      <c r="N29">
        <v>7362.47</v>
      </c>
      <c r="O29">
        <v>2885.8199999999997</v>
      </c>
      <c r="P29">
        <v>146156.89000000001</v>
      </c>
      <c r="Q29">
        <v>0</v>
      </c>
      <c r="R29">
        <v>0</v>
      </c>
      <c r="S29">
        <v>860</v>
      </c>
      <c r="T29" s="1">
        <f t="shared" si="1"/>
        <v>200161.17</v>
      </c>
      <c r="U29">
        <f t="shared" si="2"/>
        <v>79142.110000000015</v>
      </c>
      <c r="V29">
        <f t="shared" si="3"/>
        <v>174447.16</v>
      </c>
      <c r="W29">
        <f t="shared" si="4"/>
        <v>25714.010000000009</v>
      </c>
      <c r="X29">
        <v>268099</v>
      </c>
      <c r="Y29" s="4">
        <f t="shared" si="5"/>
        <v>0.65068187497901897</v>
      </c>
      <c r="Z29">
        <v>0.54</v>
      </c>
      <c r="AA29">
        <v>0.14000000000000001</v>
      </c>
      <c r="AB29">
        <v>0.21999999999999997</v>
      </c>
      <c r="AC29" s="4">
        <f t="shared" si="6"/>
        <v>1.375742532562098</v>
      </c>
      <c r="AD29">
        <v>1.5</v>
      </c>
      <c r="AE29">
        <v>0.60000000000000009</v>
      </c>
      <c r="AF29">
        <v>0.79999999999999982</v>
      </c>
      <c r="AG29" s="4">
        <f t="shared" si="7"/>
        <v>1.0417915769920814</v>
      </c>
      <c r="AH29" s="4">
        <f t="shared" si="8"/>
        <v>0.65068187497901897</v>
      </c>
      <c r="AI29" s="4">
        <f t="shared" si="9"/>
        <v>9.5912368192346886E-2</v>
      </c>
      <c r="AJ29" s="4">
        <f t="shared" si="10"/>
        <v>0.29519733382071556</v>
      </c>
      <c r="AK29" s="4">
        <f t="shared" si="11"/>
        <v>0.28335546220581442</v>
      </c>
    </row>
    <row r="30" spans="1:37" x14ac:dyDescent="0.35">
      <c r="A30" s="2">
        <v>44317</v>
      </c>
      <c r="B30">
        <v>199754.25</v>
      </c>
      <c r="C30">
        <v>0</v>
      </c>
      <c r="D30">
        <v>2000</v>
      </c>
      <c r="E30">
        <v>0</v>
      </c>
      <c r="F30" s="1">
        <f t="shared" si="0"/>
        <v>201754.25</v>
      </c>
      <c r="G30">
        <v>623</v>
      </c>
      <c r="H30">
        <v>4858.05</v>
      </c>
      <c r="I30">
        <v>467.15000000000003</v>
      </c>
      <c r="J30">
        <v>9159.69</v>
      </c>
      <c r="K30">
        <v>0</v>
      </c>
      <c r="L30">
        <v>1237.99</v>
      </c>
      <c r="M30">
        <v>2629.86</v>
      </c>
      <c r="N30">
        <v>6602.56</v>
      </c>
      <c r="O30">
        <v>5392.12</v>
      </c>
      <c r="P30">
        <v>100629.16</v>
      </c>
      <c r="Q30">
        <v>0</v>
      </c>
      <c r="R30">
        <v>0</v>
      </c>
      <c r="S30">
        <v>260</v>
      </c>
      <c r="T30" s="1">
        <f t="shared" si="1"/>
        <v>131859.58000000002</v>
      </c>
      <c r="U30">
        <f t="shared" si="2"/>
        <v>69894.669999999984</v>
      </c>
      <c r="V30">
        <f t="shared" si="3"/>
        <v>127524.58</v>
      </c>
      <c r="W30">
        <f t="shared" si="4"/>
        <v>4335.0000000000146</v>
      </c>
      <c r="X30">
        <v>266339</v>
      </c>
      <c r="Y30" s="4">
        <f t="shared" si="5"/>
        <v>0.4788055072670544</v>
      </c>
      <c r="Z30">
        <v>0.54</v>
      </c>
      <c r="AA30">
        <v>0.14000000000000001</v>
      </c>
      <c r="AB30">
        <v>0.21999999999999997</v>
      </c>
      <c r="AC30" s="4">
        <f t="shared" si="6"/>
        <v>1.9850533384160216</v>
      </c>
      <c r="AD30">
        <v>1.5</v>
      </c>
      <c r="AE30">
        <v>0.60000000000000009</v>
      </c>
      <c r="AF30">
        <v>0.79999999999999982</v>
      </c>
      <c r="AG30" s="4">
        <f t="shared" si="7"/>
        <v>0.75750922696263034</v>
      </c>
      <c r="AH30" s="4">
        <f t="shared" si="8"/>
        <v>0.4788055072670544</v>
      </c>
      <c r="AI30" s="4">
        <f t="shared" si="9"/>
        <v>1.62762494415013E-2</v>
      </c>
      <c r="AJ30" s="4">
        <f t="shared" si="10"/>
        <v>0.26242747025407465</v>
      </c>
      <c r="AK30" s="4">
        <f t="shared" si="11"/>
        <v>0.34643468477120054</v>
      </c>
    </row>
    <row r="31" spans="1:37" x14ac:dyDescent="0.35">
      <c r="A31" s="2">
        <v>44348</v>
      </c>
      <c r="B31">
        <v>175575</v>
      </c>
      <c r="C31">
        <v>0</v>
      </c>
      <c r="D31">
        <v>0</v>
      </c>
      <c r="E31">
        <v>1221.97</v>
      </c>
      <c r="F31" s="1">
        <f t="shared" si="0"/>
        <v>176796.97</v>
      </c>
      <c r="G31">
        <v>2933.1200000000003</v>
      </c>
      <c r="H31">
        <v>5931.81</v>
      </c>
      <c r="I31">
        <v>0</v>
      </c>
      <c r="J31">
        <v>8898.8799999999992</v>
      </c>
      <c r="K31">
        <v>0</v>
      </c>
      <c r="L31">
        <v>2399.83</v>
      </c>
      <c r="M31">
        <v>2277.85</v>
      </c>
      <c r="N31">
        <v>7521.05</v>
      </c>
      <c r="O31">
        <v>7078.6900000000005</v>
      </c>
      <c r="P31">
        <v>112743.9</v>
      </c>
      <c r="Q31">
        <v>0</v>
      </c>
      <c r="R31">
        <v>0</v>
      </c>
      <c r="S31">
        <v>0</v>
      </c>
      <c r="T31" s="1">
        <f t="shared" si="1"/>
        <v>149785.13</v>
      </c>
      <c r="U31">
        <f t="shared" si="2"/>
        <v>27011.839999999997</v>
      </c>
      <c r="V31">
        <f t="shared" si="3"/>
        <v>145107.44999999998</v>
      </c>
      <c r="W31">
        <f t="shared" si="4"/>
        <v>4677.6800000000221</v>
      </c>
      <c r="X31">
        <v>234100</v>
      </c>
      <c r="Y31" s="4">
        <f t="shared" si="5"/>
        <v>0.61985241349850484</v>
      </c>
      <c r="Z31">
        <v>0.54</v>
      </c>
      <c r="AA31">
        <v>0.14000000000000001</v>
      </c>
      <c r="AB31">
        <v>0.21999999999999997</v>
      </c>
      <c r="AC31" s="4">
        <f t="shared" si="6"/>
        <v>1.557290460947333</v>
      </c>
      <c r="AD31">
        <v>1.5</v>
      </c>
      <c r="AE31">
        <v>0.60000000000000009</v>
      </c>
      <c r="AF31">
        <v>0.79999999999999982</v>
      </c>
      <c r="AG31" s="4">
        <f t="shared" si="7"/>
        <v>0.75521986330627933</v>
      </c>
      <c r="AH31" s="4">
        <f t="shared" si="8"/>
        <v>0.61985241349850484</v>
      </c>
      <c r="AI31" s="4">
        <f t="shared" si="9"/>
        <v>1.9981546347714745E-2</v>
      </c>
      <c r="AJ31" s="4">
        <f t="shared" si="10"/>
        <v>0.11538590346005979</v>
      </c>
      <c r="AK31" s="4">
        <f t="shared" si="11"/>
        <v>0.15278451887495581</v>
      </c>
    </row>
    <row r="32" spans="1:37" x14ac:dyDescent="0.35">
      <c r="A32" s="2">
        <v>44378</v>
      </c>
      <c r="B32">
        <v>158392.04999999999</v>
      </c>
      <c r="C32">
        <v>0</v>
      </c>
      <c r="D32">
        <v>0</v>
      </c>
      <c r="E32">
        <v>0</v>
      </c>
      <c r="F32" s="1">
        <f t="shared" si="0"/>
        <v>158392.04999999999</v>
      </c>
      <c r="G32">
        <v>3887.2599999999998</v>
      </c>
      <c r="H32">
        <v>8440.98</v>
      </c>
      <c r="I32">
        <v>3157.3900000000003</v>
      </c>
      <c r="J32">
        <v>8584.06</v>
      </c>
      <c r="K32">
        <v>58569</v>
      </c>
      <c r="L32">
        <v>8673.27</v>
      </c>
      <c r="M32">
        <v>2652.46</v>
      </c>
      <c r="N32">
        <v>8087.36</v>
      </c>
      <c r="O32">
        <v>2863.45</v>
      </c>
      <c r="P32">
        <v>115077.9</v>
      </c>
      <c r="Q32">
        <v>0</v>
      </c>
      <c r="R32">
        <v>0</v>
      </c>
      <c r="S32">
        <v>223.44</v>
      </c>
      <c r="T32" s="1">
        <f t="shared" si="1"/>
        <v>220216.57</v>
      </c>
      <c r="U32">
        <f t="shared" si="2"/>
        <v>-61824.520000000019</v>
      </c>
      <c r="V32">
        <f t="shared" si="3"/>
        <v>147164.45000000001</v>
      </c>
      <c r="W32">
        <f t="shared" si="4"/>
        <v>73052.12</v>
      </c>
      <c r="X32">
        <v>211190</v>
      </c>
      <c r="Y32" s="4">
        <f t="shared" si="5"/>
        <v>0.69683436715753588</v>
      </c>
      <c r="Z32">
        <v>0.54</v>
      </c>
      <c r="AA32">
        <v>0.14000000000000001</v>
      </c>
      <c r="AB32">
        <v>0.21999999999999997</v>
      </c>
      <c r="AC32" s="4">
        <f t="shared" si="6"/>
        <v>1.3763898194179769</v>
      </c>
      <c r="AD32">
        <v>1.5</v>
      </c>
      <c r="AE32">
        <v>0.60000000000000009</v>
      </c>
      <c r="AF32">
        <v>0.79999999999999982</v>
      </c>
      <c r="AG32" s="4">
        <f t="shared" si="7"/>
        <v>0.74999786921729239</v>
      </c>
      <c r="AH32" s="4">
        <f t="shared" si="8"/>
        <v>0.69683436715753588</v>
      </c>
      <c r="AI32" s="4">
        <f t="shared" si="9"/>
        <v>0.34590709787395235</v>
      </c>
      <c r="AJ32" s="4">
        <f t="shared" si="10"/>
        <v>-0.29274359581419584</v>
      </c>
      <c r="AK32" s="4">
        <f t="shared" si="11"/>
        <v>-0.39032590335184136</v>
      </c>
    </row>
    <row r="33" spans="1:37" x14ac:dyDescent="0.35">
      <c r="A33" s="2">
        <v>44409</v>
      </c>
      <c r="B33">
        <v>160425</v>
      </c>
      <c r="C33">
        <v>0</v>
      </c>
      <c r="D33">
        <v>0</v>
      </c>
      <c r="E33">
        <v>24978.73</v>
      </c>
      <c r="F33" s="1">
        <f t="shared" si="0"/>
        <v>185403.73</v>
      </c>
      <c r="G33">
        <v>6605.25</v>
      </c>
      <c r="H33">
        <v>7455.89</v>
      </c>
      <c r="I33">
        <v>971.38</v>
      </c>
      <c r="J33">
        <v>7093.26</v>
      </c>
      <c r="K33">
        <v>14824.41</v>
      </c>
      <c r="L33">
        <v>3283.6900000000005</v>
      </c>
      <c r="M33">
        <v>2297.5500000000002</v>
      </c>
      <c r="N33">
        <v>7911.72</v>
      </c>
      <c r="O33">
        <v>1657.2800000000002</v>
      </c>
      <c r="P33">
        <v>100484.44</v>
      </c>
      <c r="Q33">
        <v>0</v>
      </c>
      <c r="R33">
        <v>79.58</v>
      </c>
      <c r="S33">
        <v>7654.31</v>
      </c>
      <c r="T33" s="1">
        <f t="shared" si="1"/>
        <v>160318.75999999998</v>
      </c>
      <c r="U33">
        <f t="shared" si="2"/>
        <v>25084.97000000003</v>
      </c>
      <c r="V33">
        <f t="shared" si="3"/>
        <v>138941.72999999998</v>
      </c>
      <c r="W33">
        <f t="shared" si="4"/>
        <v>21377.03</v>
      </c>
      <c r="X33">
        <v>213900</v>
      </c>
      <c r="Y33" s="4">
        <f t="shared" si="5"/>
        <v>0.6495639551192145</v>
      </c>
      <c r="Z33">
        <v>0.54</v>
      </c>
      <c r="AA33">
        <v>0.14000000000000001</v>
      </c>
      <c r="AB33">
        <v>0.21999999999999997</v>
      </c>
      <c r="AC33" s="4">
        <f t="shared" si="6"/>
        <v>1.5965158386711416</v>
      </c>
      <c r="AD33">
        <v>1.5</v>
      </c>
      <c r="AE33">
        <v>0.60000000000000009</v>
      </c>
      <c r="AF33">
        <v>0.79999999999999982</v>
      </c>
      <c r="AG33" s="4">
        <f t="shared" si="7"/>
        <v>0.8667776063581113</v>
      </c>
      <c r="AH33" s="4">
        <f t="shared" si="8"/>
        <v>0.6495639551192145</v>
      </c>
      <c r="AI33" s="4">
        <f t="shared" si="9"/>
        <v>9.9939364188873295E-2</v>
      </c>
      <c r="AJ33" s="4">
        <f t="shared" si="10"/>
        <v>0.11727428705002352</v>
      </c>
      <c r="AK33" s="4">
        <f t="shared" si="11"/>
        <v>0.13529916577190776</v>
      </c>
    </row>
    <row r="34" spans="1:37" x14ac:dyDescent="0.35">
      <c r="A34" s="2">
        <v>44440</v>
      </c>
      <c r="B34">
        <v>166961</v>
      </c>
      <c r="C34">
        <v>12480</v>
      </c>
      <c r="D34">
        <v>0</v>
      </c>
      <c r="E34">
        <v>4322.2700000000004</v>
      </c>
      <c r="F34" s="1">
        <f t="shared" si="0"/>
        <v>183763.27</v>
      </c>
      <c r="G34">
        <v>3301.41</v>
      </c>
      <c r="H34">
        <v>7302.02</v>
      </c>
      <c r="I34">
        <v>0</v>
      </c>
      <c r="J34">
        <v>7093.26</v>
      </c>
      <c r="K34">
        <v>0</v>
      </c>
      <c r="L34">
        <v>112.01</v>
      </c>
      <c r="M34">
        <v>367.79</v>
      </c>
      <c r="N34">
        <v>8905.14</v>
      </c>
      <c r="O34">
        <v>4802.0599999999995</v>
      </c>
      <c r="P34">
        <v>91070.52</v>
      </c>
      <c r="Q34">
        <v>0</v>
      </c>
      <c r="R34">
        <v>0</v>
      </c>
      <c r="S34">
        <v>0</v>
      </c>
      <c r="T34" s="1">
        <f t="shared" si="1"/>
        <v>122954.21</v>
      </c>
      <c r="U34">
        <f t="shared" si="2"/>
        <v>60809.059999999983</v>
      </c>
      <c r="V34">
        <f t="shared" si="3"/>
        <v>122474.41</v>
      </c>
      <c r="W34">
        <f t="shared" si="4"/>
        <v>479.80000000000291</v>
      </c>
      <c r="X34">
        <v>210357</v>
      </c>
      <c r="Y34" s="4">
        <f t="shared" si="5"/>
        <v>0.58222169930166334</v>
      </c>
      <c r="Z34">
        <v>0.54</v>
      </c>
      <c r="AA34">
        <v>0.14000000000000001</v>
      </c>
      <c r="AB34">
        <v>0.21999999999999997</v>
      </c>
      <c r="AC34" s="4">
        <f t="shared" si="6"/>
        <v>1.8333155449205736</v>
      </c>
      <c r="AD34">
        <v>1.5</v>
      </c>
      <c r="AE34">
        <v>0.60000000000000009</v>
      </c>
      <c r="AF34">
        <v>0.79999999999999982</v>
      </c>
      <c r="AG34" s="4">
        <f t="shared" si="7"/>
        <v>0.87357810769311217</v>
      </c>
      <c r="AH34" s="4">
        <f t="shared" si="8"/>
        <v>0.58222169930166334</v>
      </c>
      <c r="AI34" s="4">
        <f t="shared" si="9"/>
        <v>2.2808844012797429E-3</v>
      </c>
      <c r="AJ34" s="4">
        <f t="shared" si="10"/>
        <v>0.289075523990169</v>
      </c>
      <c r="AK34" s="4">
        <f t="shared" si="11"/>
        <v>0.33090976232627983</v>
      </c>
    </row>
    <row r="35" spans="1:37" x14ac:dyDescent="0.35">
      <c r="A35" s="2">
        <v>44470</v>
      </c>
      <c r="B35">
        <v>168163.29</v>
      </c>
      <c r="C35">
        <v>18650</v>
      </c>
      <c r="D35">
        <v>0</v>
      </c>
      <c r="E35">
        <v>0</v>
      </c>
      <c r="F35" s="1">
        <f t="shared" si="0"/>
        <v>186813.29</v>
      </c>
      <c r="G35">
        <v>5783.2199999999993</v>
      </c>
      <c r="H35">
        <v>10617.02</v>
      </c>
      <c r="I35">
        <v>226.64999999999998</v>
      </c>
      <c r="J35">
        <v>7840.93</v>
      </c>
      <c r="K35">
        <v>19471.5</v>
      </c>
      <c r="L35">
        <v>3462.67</v>
      </c>
      <c r="M35">
        <v>0</v>
      </c>
      <c r="N35">
        <v>7688.14</v>
      </c>
      <c r="O35">
        <v>3756.66</v>
      </c>
      <c r="P35">
        <v>82855.199999999997</v>
      </c>
      <c r="Q35">
        <v>0</v>
      </c>
      <c r="R35">
        <v>0</v>
      </c>
      <c r="S35">
        <v>186.2</v>
      </c>
      <c r="T35" s="1">
        <f t="shared" si="1"/>
        <v>141888.19</v>
      </c>
      <c r="U35">
        <f t="shared" si="2"/>
        <v>44925.100000000006</v>
      </c>
      <c r="V35">
        <f t="shared" si="3"/>
        <v>118727.37</v>
      </c>
      <c r="W35">
        <f t="shared" si="4"/>
        <v>23160.820000000007</v>
      </c>
      <c r="X35">
        <v>207609</v>
      </c>
      <c r="Y35" s="4">
        <f t="shared" si="5"/>
        <v>0.5718796872967935</v>
      </c>
      <c r="Z35">
        <v>0.54</v>
      </c>
      <c r="AA35">
        <v>0.14000000000000001</v>
      </c>
      <c r="AB35">
        <v>0.21999999999999997</v>
      </c>
      <c r="AC35" s="4">
        <f t="shared" si="6"/>
        <v>2.0296045390029835</v>
      </c>
      <c r="AD35">
        <v>1.5</v>
      </c>
      <c r="AE35">
        <v>0.60000000000000009</v>
      </c>
      <c r="AF35">
        <v>0.79999999999999982</v>
      </c>
      <c r="AG35" s="4">
        <f t="shared" si="7"/>
        <v>0.89983232904161192</v>
      </c>
      <c r="AH35" s="4">
        <f t="shared" si="8"/>
        <v>0.5718796872967935</v>
      </c>
      <c r="AI35" s="4">
        <f t="shared" si="9"/>
        <v>0.11155980713745554</v>
      </c>
      <c r="AJ35" s="4">
        <f t="shared" si="10"/>
        <v>0.21639283460736292</v>
      </c>
      <c r="AK35" s="4">
        <f t="shared" si="11"/>
        <v>0.24048128481651387</v>
      </c>
    </row>
    <row r="36" spans="1:37" x14ac:dyDescent="0.35">
      <c r="A36" s="2">
        <v>44501</v>
      </c>
      <c r="B36">
        <v>168955.35</v>
      </c>
      <c r="C36">
        <v>1334.67</v>
      </c>
      <c r="D36">
        <v>0</v>
      </c>
      <c r="E36">
        <v>28523.34</v>
      </c>
      <c r="F36" s="1">
        <f t="shared" si="0"/>
        <v>198813.36000000002</v>
      </c>
      <c r="G36">
        <v>4624.8900000000003</v>
      </c>
      <c r="H36">
        <v>11643.65</v>
      </c>
      <c r="I36">
        <v>0</v>
      </c>
      <c r="J36">
        <v>7874.13</v>
      </c>
      <c r="K36">
        <v>0</v>
      </c>
      <c r="L36">
        <v>112.5</v>
      </c>
      <c r="M36">
        <v>1049.74</v>
      </c>
      <c r="N36">
        <v>7049.05</v>
      </c>
      <c r="O36">
        <v>6033.96</v>
      </c>
      <c r="P36">
        <v>118442.7</v>
      </c>
      <c r="Q36">
        <v>0</v>
      </c>
      <c r="R36">
        <v>0</v>
      </c>
      <c r="S36">
        <v>0</v>
      </c>
      <c r="T36" s="1">
        <f t="shared" si="1"/>
        <v>156830.62</v>
      </c>
      <c r="U36">
        <f t="shared" si="2"/>
        <v>41982.74000000002</v>
      </c>
      <c r="V36">
        <f t="shared" si="3"/>
        <v>155668.38</v>
      </c>
      <c r="W36">
        <f t="shared" si="4"/>
        <v>1162.2399999999907</v>
      </c>
      <c r="X36">
        <v>198771</v>
      </c>
      <c r="Y36" s="4">
        <f t="shared" si="5"/>
        <v>0.78315438368776136</v>
      </c>
      <c r="Z36">
        <v>0.54</v>
      </c>
      <c r="AA36">
        <v>0.14000000000000001</v>
      </c>
      <c r="AB36">
        <v>0.21999999999999997</v>
      </c>
      <c r="AC36" s="4">
        <f t="shared" si="6"/>
        <v>1.4264733073460838</v>
      </c>
      <c r="AD36">
        <v>1.5</v>
      </c>
      <c r="AE36">
        <v>0.60000000000000009</v>
      </c>
      <c r="AF36">
        <v>0.79999999999999982</v>
      </c>
      <c r="AG36" s="4">
        <f t="shared" si="7"/>
        <v>1.0002131095582354</v>
      </c>
      <c r="AH36" s="4">
        <f t="shared" si="8"/>
        <v>0.78315438368776136</v>
      </c>
      <c r="AI36" s="4">
        <f t="shared" si="9"/>
        <v>5.8471306176453844E-3</v>
      </c>
      <c r="AJ36" s="4">
        <f t="shared" si="10"/>
        <v>0.21121159525282873</v>
      </c>
      <c r="AK36" s="4">
        <f t="shared" si="11"/>
        <v>0.21116659363334545</v>
      </c>
    </row>
    <row r="37" spans="1:37" x14ac:dyDescent="0.35">
      <c r="A37" s="2">
        <v>44531</v>
      </c>
      <c r="B37">
        <v>175692.45</v>
      </c>
      <c r="C37">
        <v>0</v>
      </c>
      <c r="D37">
        <v>0</v>
      </c>
      <c r="E37">
        <v>279358.28000000003</v>
      </c>
      <c r="F37" s="1">
        <f t="shared" si="0"/>
        <v>455050.73000000004</v>
      </c>
      <c r="G37">
        <v>5110.71</v>
      </c>
      <c r="H37">
        <v>13688.63</v>
      </c>
      <c r="I37">
        <v>5419.869999999999</v>
      </c>
      <c r="J37">
        <v>8068.1900000000005</v>
      </c>
      <c r="K37">
        <v>63315</v>
      </c>
      <c r="L37">
        <v>6391.420000000001</v>
      </c>
      <c r="M37">
        <v>713.5</v>
      </c>
      <c r="N37">
        <v>6996.62</v>
      </c>
      <c r="O37" s="3">
        <v>1958.08</v>
      </c>
      <c r="P37">
        <v>128525.7</v>
      </c>
      <c r="Q37">
        <v>0</v>
      </c>
      <c r="R37">
        <v>0</v>
      </c>
      <c r="S37">
        <v>0</v>
      </c>
      <c r="T37" s="1">
        <f t="shared" si="1"/>
        <v>240187.71999999997</v>
      </c>
      <c r="U37">
        <f t="shared" si="2"/>
        <v>214863.01000000007</v>
      </c>
      <c r="V37">
        <f t="shared" si="3"/>
        <v>164347.93</v>
      </c>
      <c r="W37">
        <f t="shared" si="4"/>
        <v>75839.789999999979</v>
      </c>
      <c r="X37">
        <v>206697</v>
      </c>
      <c r="Y37" s="4">
        <f t="shared" si="5"/>
        <v>0.79511521696009135</v>
      </c>
      <c r="Z37">
        <v>0.54</v>
      </c>
      <c r="AA37">
        <v>0.14000000000000001</v>
      </c>
      <c r="AB37">
        <v>0.21999999999999997</v>
      </c>
      <c r="AC37" s="4">
        <f t="shared" si="6"/>
        <v>1.3669830236287375</v>
      </c>
      <c r="AD37">
        <v>1.5</v>
      </c>
      <c r="AE37">
        <v>0.60000000000000009</v>
      </c>
      <c r="AF37">
        <v>0.79999999999999982</v>
      </c>
      <c r="AG37" s="4">
        <f t="shared" si="7"/>
        <v>2.2015352424079695</v>
      </c>
      <c r="AH37" s="4">
        <f t="shared" si="8"/>
        <v>0.79511521696009135</v>
      </c>
      <c r="AI37" s="4">
        <f t="shared" si="9"/>
        <v>0.36691287246549287</v>
      </c>
      <c r="AJ37" s="4">
        <f t="shared" si="10"/>
        <v>1.0395071529823852</v>
      </c>
      <c r="AK37" s="4">
        <f t="shared" si="11"/>
        <v>0.47217375082553992</v>
      </c>
    </row>
    <row r="41" spans="1:37" x14ac:dyDescent="0.35">
      <c r="A41" s="8" t="s">
        <v>59</v>
      </c>
      <c r="B41">
        <f>COUNT(Таблица1[Приход мляко])</f>
        <v>36</v>
      </c>
      <c r="C41">
        <f>COUNT(Таблица1[Приход животни])</f>
        <v>36</v>
      </c>
      <c r="D41">
        <f>COUNT(Таблица1[Приходи телета])</f>
        <v>36</v>
      </c>
      <c r="E41">
        <f>COUNT(Таблица1[Субсидия])</f>
        <v>36</v>
      </c>
      <c r="F41">
        <f>COUNT(Таблица1[Общи приходи])</f>
        <v>36</v>
      </c>
      <c r="G41">
        <f>COUNT(Таблица1[Разходи лекарства])</f>
        <v>36</v>
      </c>
      <c r="H41">
        <f>COUNT(Таблица1[Ел енергия])</f>
        <v>36</v>
      </c>
      <c r="I41">
        <f>COUNT(Таблица1[Застраховки])</f>
        <v>36</v>
      </c>
      <c r="J41">
        <f>COUNT(Таблица1[Заплати + осигуровки])</f>
        <v>36</v>
      </c>
      <c r="K41">
        <f>COUNT(Таблица1[Кредити])</f>
        <v>36</v>
      </c>
      <c r="L41">
        <f>COUNT(Таблица1[Лихви кредити])</f>
        <v>36</v>
      </c>
      <c r="M41">
        <f>COUNT(Таблица1[Лизингови договори])</f>
        <v>36</v>
      </c>
      <c r="N41">
        <f>COUNT(Таблица1[Гориво])</f>
        <v>36</v>
      </c>
      <c r="O41">
        <f>COUNT(Таблица1[Ремонт])</f>
        <v>36</v>
      </c>
      <c r="P41">
        <f>COUNT(Таблица1[Фуражи])</f>
        <v>36</v>
      </c>
      <c r="Q41">
        <f>COUNT(Таблица1[Семенна течност])</f>
        <v>36</v>
      </c>
      <c r="R41">
        <f>COUNT(Таблица1[Ушни марки])</f>
        <v>36</v>
      </c>
      <c r="S41">
        <f>COUNT(Таблица1[Други])</f>
        <v>36</v>
      </c>
      <c r="T41">
        <f>COUNT(Таблица1[Общи разходи])</f>
        <v>36</v>
      </c>
      <c r="U41">
        <f>COUNT(Таблица1[Печалба на месец])</f>
        <v>36</v>
      </c>
      <c r="V41">
        <f>COUNT(Таблица1[Производствени разходи])</f>
        <v>36</v>
      </c>
      <c r="W41">
        <f>COUNT(Таблица1[Литри])</f>
        <v>36</v>
      </c>
      <c r="X41">
        <f>COUNT(Таблица1[Произ. разходи/литър])</f>
        <v>36</v>
      </c>
      <c r="Y41">
        <f>COUNT(Таблица1[Нисък])</f>
        <v>36</v>
      </c>
      <c r="Z41">
        <f>COUNT(Таблица1[Среден])</f>
        <v>36</v>
      </c>
      <c r="AA41">
        <f>COUNT(Таблица1[Висок])</f>
        <v>36</v>
      </c>
      <c r="AB41">
        <f>COUNT(Таблица1[Мляко/Фураж])</f>
        <v>36</v>
      </c>
      <c r="AC41">
        <f>COUNT(Таблица1[Намален])</f>
        <v>36</v>
      </c>
      <c r="AD41">
        <f>COUNT(Таблица1[Устойчив])</f>
        <v>36</v>
      </c>
      <c r="AE41">
        <f>COUNT(Таблица1[Повишен])</f>
        <v>36</v>
      </c>
      <c r="AF41" s="11">
        <f>COUNT(Таблица1[Дата])</f>
        <v>36</v>
      </c>
      <c r="AG41">
        <f>COUNT(AG2:AG37)</f>
        <v>36</v>
      </c>
      <c r="AH41">
        <f>COUNT(AH2:AH37)</f>
        <v>36</v>
      </c>
      <c r="AI41">
        <f>COUNT(AI2:AI37)</f>
        <v>36</v>
      </c>
      <c r="AJ41">
        <f>COUNT(AJ2:AJ37)</f>
        <v>36</v>
      </c>
      <c r="AK41">
        <f>COUNT(AK2:AK37)</f>
        <v>36</v>
      </c>
    </row>
    <row r="42" spans="1:37" x14ac:dyDescent="0.35">
      <c r="A42" s="8" t="s">
        <v>60</v>
      </c>
      <c r="B42">
        <f>SKEW(Таблица1[Приход мляко])</f>
        <v>-1.0609210490936751</v>
      </c>
      <c r="C42">
        <f>SKEW(Таблица1[Приход животни])</f>
        <v>2.1390181125752865</v>
      </c>
      <c r="D42">
        <f>SKEW(Таблица1[Приходи телета])</f>
        <v>2.6761713231848665</v>
      </c>
      <c r="E42">
        <f>SKEW(Таблица1[Субсидия])</f>
        <v>2.7641005707128343</v>
      </c>
      <c r="F42">
        <f>SKEW(Таблица1[Общи приходи])</f>
        <v>1.6435872716499427</v>
      </c>
      <c r="G42">
        <f>SKEW(Таблица1[Разходи лекарства])</f>
        <v>1.3269691689290906</v>
      </c>
      <c r="H42">
        <f>SKEW(Таблица1[Ел енергия])</f>
        <v>2.0064635269601343</v>
      </c>
      <c r="I42">
        <f>SKEW(Таблица1[Застраховки])</f>
        <v>1.515104315386949</v>
      </c>
      <c r="J42">
        <f>SKEW(Таблица1[Заплати + осигуровки])</f>
        <v>-0.68040944797548619</v>
      </c>
      <c r="K42">
        <f>SKEW(Таблица1[Кредити])</f>
        <v>0.56632006127228518</v>
      </c>
      <c r="L42">
        <f>SKEW(Таблица1[Лихви кредити])</f>
        <v>0.36469648933679288</v>
      </c>
      <c r="M42">
        <f>SKEW(Таблица1[Лизингови договори])</f>
        <v>2.8679687866012817</v>
      </c>
      <c r="N42">
        <f>SKEW(Таблица1[Гориво])</f>
        <v>0.69630953499887738</v>
      </c>
      <c r="O42">
        <f>SKEW(Таблица1[Ремонт])</f>
        <v>1.3259464352541146</v>
      </c>
      <c r="P42">
        <f>SKEW(Таблица1[Фуражи])</f>
        <v>-0.11134873916925504</v>
      </c>
      <c r="Q42">
        <f>SKEW(Таблица1[Семенна течност])</f>
        <v>3.0648774910247703</v>
      </c>
      <c r="R42">
        <f>SKEW(Таблица1[Ушни марки])</f>
        <v>2.9504265138490102</v>
      </c>
      <c r="S42">
        <f>SKEW(Таблица1[Други])</f>
        <v>3.5988190831452345</v>
      </c>
      <c r="T42">
        <f>SKEW(Таблица1[Общи разходи])</f>
        <v>0.17109161962718228</v>
      </c>
      <c r="U42">
        <f>SKEW(Таблица1[Печалба на месец])</f>
        <v>1.6923033811221382</v>
      </c>
      <c r="V42">
        <f>SKEW(Таблица1[Производствени разходи])</f>
        <v>-0.34297748639458886</v>
      </c>
      <c r="W42">
        <f>SKEW(Таблица1[Литри])</f>
        <v>-0.80922676630104373</v>
      </c>
      <c r="X42">
        <f>SKEW(Таблица1[Произ. разходи/литър])</f>
        <v>0.24010461822140095</v>
      </c>
      <c r="Y42">
        <f>SKEW(Таблица1[Нисък])</f>
        <v>-1.0440140793705206</v>
      </c>
      <c r="Z42">
        <f>SKEW(Таблица1[Среден])</f>
        <v>1.0440140793705206</v>
      </c>
      <c r="AA42">
        <f>SKEW(Таблица1[Висок])</f>
        <v>-1.0440140793705206</v>
      </c>
      <c r="AB42">
        <f>SKEW(Таблица1[Мляко/Фураж])</f>
        <v>0.56736986310106774</v>
      </c>
      <c r="AC42" t="e">
        <f>SKEW(Таблица1[Намален])</f>
        <v>#DIV/0!</v>
      </c>
      <c r="AD42">
        <f>SKEW(Таблица1[Устойчив])</f>
        <v>1.0440140793705206</v>
      </c>
      <c r="AE42">
        <f>SKEW(Таблица1[Повишен])</f>
        <v>-1.0440140793705206</v>
      </c>
      <c r="AF42" s="11">
        <f>SKEW(Таблица1[Дата])</f>
        <v>-6.2146885186602457E-4</v>
      </c>
      <c r="AG42">
        <f>SKEW(AG2:AG37)</f>
        <v>2.8552087454124271</v>
      </c>
      <c r="AH42">
        <f>SKEW(AH2:AH37)</f>
        <v>0.24010461822140095</v>
      </c>
      <c r="AI42">
        <f>SKEW(AI2:AI37)</f>
        <v>0.11941404007569172</v>
      </c>
      <c r="AJ42">
        <f>SKEW(AJ2:AJ37)</f>
        <v>1.6581361083279169</v>
      </c>
      <c r="AK42">
        <f>SKEW(AK2:AK37)</f>
        <v>-0.60824760643632569</v>
      </c>
    </row>
    <row r="43" spans="1:37" x14ac:dyDescent="0.35">
      <c r="A43" s="8" t="s">
        <v>61</v>
      </c>
      <c r="B43">
        <f>KURT(Таблица1[Приход мляко])</f>
        <v>1.1290510264818883</v>
      </c>
      <c r="C43">
        <f>KURT(Таблица1[Приход животни])</f>
        <v>4.0096333520353324</v>
      </c>
      <c r="D43">
        <f>KURT(Таблица1[Приходи телета])</f>
        <v>5.6225686816316944</v>
      </c>
      <c r="E43">
        <f>KURT(Таблица1[Субсидия])</f>
        <v>7.6514848933798838</v>
      </c>
      <c r="F43">
        <f>KURT(Таблица1[Общи приходи])</f>
        <v>3.9452250750322397</v>
      </c>
      <c r="G43">
        <f>KURT(Таблица1[Разходи лекарства])</f>
        <v>1.9492319769941551</v>
      </c>
      <c r="H43">
        <f>KURT(Таблица1[Ел енергия])</f>
        <v>4.4657161083830559</v>
      </c>
      <c r="I43">
        <f>KURT(Таблица1[Застраховки])</f>
        <v>1.2925551016472188</v>
      </c>
      <c r="J43">
        <f>KURT(Таблица1[Заплати + осигуровки])</f>
        <v>-1.2172783999712111</v>
      </c>
      <c r="K43">
        <f>KURT(Таблица1[Кредити])</f>
        <v>0.32839199076027192</v>
      </c>
      <c r="L43">
        <f>KURT(Таблица1[Лихви кредити])</f>
        <v>-1.156376952533456</v>
      </c>
      <c r="M43">
        <f>KURT(Таблица1[Лизингови договори])</f>
        <v>9.9922898128093376</v>
      </c>
      <c r="N43">
        <f>KURT(Таблица1[Гориво])</f>
        <v>-0.92234380983822328</v>
      </c>
      <c r="O43">
        <f>KURT(Таблица1[Ремонт])</f>
        <v>3.5526268132027958</v>
      </c>
      <c r="P43">
        <f>KURT(Таблица1[Фуражи])</f>
        <v>-0.85230466396532778</v>
      </c>
      <c r="Q43">
        <f>KURT(Таблица1[Семенна течност])</f>
        <v>13.622036708774386</v>
      </c>
      <c r="R43">
        <f>KURT(Таблица1[Ушни марки])</f>
        <v>9.1778947247871301</v>
      </c>
      <c r="S43">
        <f>KURT(Таблица1[Други])</f>
        <v>12.815550756922315</v>
      </c>
      <c r="T43">
        <f>KURT(Таблица1[Общи разходи])</f>
        <v>-0.71374768132768684</v>
      </c>
      <c r="U43">
        <f>KURT(Таблица1[Печалба на месец])</f>
        <v>3.8834042360760153</v>
      </c>
      <c r="V43">
        <f>KURT(Таблица1[Производствени разходи])</f>
        <v>-1.0458701833795034</v>
      </c>
      <c r="W43">
        <f>KURT(Таблица1[Литри])</f>
        <v>1.1500353118810951</v>
      </c>
      <c r="X43">
        <f>KURT(Таблица1[Произ. разходи/литър])</f>
        <v>-0.21929897587746039</v>
      </c>
      <c r="Y43">
        <f>KURT(Таблица1[Нисък])</f>
        <v>-2.121212121212122</v>
      </c>
      <c r="Z43">
        <f>KURT(Таблица1[Среден])</f>
        <v>-2.121212121212122</v>
      </c>
      <c r="AA43">
        <f>KURT(Таблица1[Висок])</f>
        <v>-2.121212121212122</v>
      </c>
      <c r="AB43">
        <f>KURT(Таблица1[Мляко/Фураж])</f>
        <v>-1.0354870792999016E-3</v>
      </c>
      <c r="AC43" t="e">
        <f>KURT(Таблица1[Намален])</f>
        <v>#DIV/0!</v>
      </c>
      <c r="AD43">
        <f>KURT(Таблица1[Устойчив])</f>
        <v>-2.121212121212122</v>
      </c>
      <c r="AE43">
        <f>KURT(Таблица1[Повишен])</f>
        <v>-2.121212121212122</v>
      </c>
      <c r="AF43">
        <f>KURT(Таблица1[Дата])</f>
        <v>-1.2014037418485426</v>
      </c>
      <c r="AG43">
        <f>KURT(AG2:AG37)</f>
        <v>8.5094530493810474</v>
      </c>
      <c r="AH43">
        <f>KURT(AH2:AH37)</f>
        <v>-0.21929897587746039</v>
      </c>
      <c r="AI43">
        <f>KURT(AI2:AI37)</f>
        <v>-0.51999704322489126</v>
      </c>
      <c r="AJ43">
        <f>KURT(AJ2:AJ37)</f>
        <v>4.087872576304215</v>
      </c>
      <c r="AK43">
        <f>KURT(AK2:AK37)</f>
        <v>1.0923974659483164</v>
      </c>
    </row>
    <row r="44" spans="1:37" x14ac:dyDescent="0.35">
      <c r="A44" s="8"/>
      <c r="AF44" s="11"/>
    </row>
    <row r="45" spans="1:37" x14ac:dyDescent="0.35">
      <c r="A45" s="8"/>
      <c r="AF45" s="11"/>
    </row>
    <row r="46" spans="1:37" x14ac:dyDescent="0.35">
      <c r="A46" s="8" t="s">
        <v>62</v>
      </c>
      <c r="B46">
        <f>(B41/6)*(B42^2+(B43^2)/4)</f>
        <v>8.6654551650598535</v>
      </c>
      <c r="C46">
        <f t="shared" ref="C46:AK46" si="12">(C41/6)*(C42^2+(C43^2)/4)</f>
        <v>51.568130342181988</v>
      </c>
      <c r="D46">
        <f t="shared" si="12"/>
        <v>90.391275575720599</v>
      </c>
      <c r="E46">
        <f t="shared" si="12"/>
        <v>133.65934340052095</v>
      </c>
      <c r="F46">
        <f t="shared" si="12"/>
        <v>39.555476056172928</v>
      </c>
      <c r="G46">
        <f t="shared" si="12"/>
        <v>16.26434100193498</v>
      </c>
      <c r="H46">
        <f t="shared" si="12"/>
        <v>54.069305851135667</v>
      </c>
      <c r="I46">
        <f t="shared" si="12"/>
        <v>16.27929455521631</v>
      </c>
      <c r="J46">
        <f t="shared" si="12"/>
        <v>5.0003921559205429</v>
      </c>
      <c r="K46">
        <f t="shared" si="12"/>
        <v>2.0860724201899106</v>
      </c>
      <c r="L46">
        <f t="shared" si="12"/>
        <v>2.8038326605333328</v>
      </c>
      <c r="M46">
        <f t="shared" si="12"/>
        <v>199.12025332027525</v>
      </c>
      <c r="N46">
        <f t="shared" si="12"/>
        <v>4.18515896650245</v>
      </c>
      <c r="O46">
        <f t="shared" si="12"/>
        <v>29.480539605809746</v>
      </c>
      <c r="P46">
        <f t="shared" si="12"/>
        <v>1.1640261106130723</v>
      </c>
      <c r="Q46">
        <f t="shared" si="12"/>
        <v>334.70067035273712</v>
      </c>
      <c r="R46">
        <f t="shared" si="12"/>
        <v>178.58072705065248</v>
      </c>
      <c r="S46">
        <f t="shared" si="12"/>
        <v>324.06650456414002</v>
      </c>
      <c r="T46">
        <f t="shared" si="12"/>
        <v>0.93978768274088842</v>
      </c>
      <c r="U46">
        <f t="shared" si="12"/>
        <v>39.804587093704235</v>
      </c>
      <c r="V46">
        <f t="shared" si="12"/>
        <v>2.3465679977647165</v>
      </c>
      <c r="W46">
        <f t="shared" si="12"/>
        <v>5.9129595836484361</v>
      </c>
      <c r="X46">
        <f t="shared" si="12"/>
        <v>0.4180394273788226</v>
      </c>
      <c r="Y46">
        <f t="shared" si="12"/>
        <v>13.289103682309099</v>
      </c>
      <c r="Z46">
        <f t="shared" si="12"/>
        <v>13.289103682309099</v>
      </c>
      <c r="AA46">
        <f t="shared" si="12"/>
        <v>13.289103682309099</v>
      </c>
      <c r="AB46">
        <f t="shared" si="12"/>
        <v>1.9314529776821829</v>
      </c>
      <c r="AC46" t="e">
        <f t="shared" si="12"/>
        <v>#DIV/0!</v>
      </c>
      <c r="AD46">
        <f t="shared" si="12"/>
        <v>13.289103682309099</v>
      </c>
      <c r="AE46">
        <f t="shared" si="12"/>
        <v>13.289103682309099</v>
      </c>
      <c r="AF46">
        <f t="shared" si="12"/>
        <v>2.1650587437327222</v>
      </c>
      <c r="AG46">
        <f t="shared" si="12"/>
        <v>157.52948867870822</v>
      </c>
      <c r="AH46">
        <f t="shared" si="12"/>
        <v>0.4180394273788226</v>
      </c>
      <c r="AI46">
        <f t="shared" si="12"/>
        <v>0.49115366524713766</v>
      </c>
      <c r="AJ46">
        <f t="shared" si="12"/>
        <v>41.562545422595178</v>
      </c>
      <c r="AK46">
        <f t="shared" si="12"/>
        <v>4.0097892398285708</v>
      </c>
    </row>
    <row r="47" spans="1:37" x14ac:dyDescent="0.35">
      <c r="A47" s="8" t="s">
        <v>63</v>
      </c>
      <c r="B47">
        <f>_xlfn.CHISQ.DIST.RT(B46,2)</f>
        <v>1.3131680854424675E-2</v>
      </c>
      <c r="C47">
        <f t="shared" ref="C47:AE47" si="13">_xlfn.CHISQ.DIST.RT(C46,2)</f>
        <v>6.3404893171842052E-12</v>
      </c>
      <c r="D47">
        <f t="shared" si="13"/>
        <v>2.3538777439064978E-20</v>
      </c>
      <c r="E47">
        <f t="shared" si="13"/>
        <v>9.4676534577460171E-30</v>
      </c>
      <c r="F47">
        <f t="shared" si="13"/>
        <v>2.5741716907175902E-9</v>
      </c>
      <c r="G47">
        <f t="shared" si="13"/>
        <v>2.9392953360558128E-4</v>
      </c>
      <c r="H47">
        <f t="shared" si="13"/>
        <v>1.8155132141438911E-12</v>
      </c>
      <c r="I47">
        <f t="shared" si="13"/>
        <v>2.9174008334956154E-4</v>
      </c>
      <c r="J47">
        <f t="shared" si="13"/>
        <v>8.2068905142639786E-2</v>
      </c>
      <c r="K47">
        <f t="shared" si="13"/>
        <v>0.35238314681139199</v>
      </c>
      <c r="L47">
        <f t="shared" si="13"/>
        <v>0.24612485521853264</v>
      </c>
      <c r="M47">
        <f t="shared" si="13"/>
        <v>5.7754572548382192E-44</v>
      </c>
      <c r="N47">
        <f t="shared" si="13"/>
        <v>0.12336849805927946</v>
      </c>
      <c r="O47">
        <f t="shared" si="13"/>
        <v>3.966268975133441E-7</v>
      </c>
      <c r="P47">
        <f t="shared" si="13"/>
        <v>0.55877239389034106</v>
      </c>
      <c r="Q47">
        <f t="shared" si="13"/>
        <v>2.0925357586515123E-73</v>
      </c>
      <c r="R47">
        <f t="shared" si="13"/>
        <v>1.6660492438507802E-39</v>
      </c>
      <c r="S47">
        <f t="shared" si="13"/>
        <v>4.264348100064843E-71</v>
      </c>
      <c r="T47">
        <f t="shared" si="13"/>
        <v>0.62506862118887541</v>
      </c>
      <c r="U47">
        <f t="shared" si="13"/>
        <v>2.2727084955877124E-9</v>
      </c>
      <c r="V47">
        <f t="shared" si="13"/>
        <v>0.30934936834592719</v>
      </c>
      <c r="W47">
        <f t="shared" si="13"/>
        <v>5.2001651992218144E-2</v>
      </c>
      <c r="X47">
        <f t="shared" si="13"/>
        <v>0.81137924020741115</v>
      </c>
      <c r="Y47">
        <f t="shared" si="13"/>
        <v>1.3010913832339462E-3</v>
      </c>
      <c r="Z47">
        <f t="shared" si="13"/>
        <v>1.3010913832339462E-3</v>
      </c>
      <c r="AA47">
        <f t="shared" si="13"/>
        <v>1.3010913832339462E-3</v>
      </c>
      <c r="AB47">
        <f t="shared" si="13"/>
        <v>0.38070652021054735</v>
      </c>
      <c r="AC47" t="e">
        <f t="shared" si="13"/>
        <v>#DIV/0!</v>
      </c>
      <c r="AD47">
        <f t="shared" si="13"/>
        <v>1.3010913832339462E-3</v>
      </c>
      <c r="AE47">
        <f t="shared" si="13"/>
        <v>1.3010913832339462E-3</v>
      </c>
      <c r="AF47">
        <f t="shared" ref="AF47:AK47" si="14">_xlfn.CHISQ.DIST.RT(AF46,2)</f>
        <v>0.33873764767999737</v>
      </c>
      <c r="AG47">
        <f t="shared" si="14"/>
        <v>6.2073490170452528E-35</v>
      </c>
      <c r="AH47">
        <f t="shared" si="14"/>
        <v>0.81137924020741115</v>
      </c>
      <c r="AI47">
        <f t="shared" si="14"/>
        <v>0.78225317892150059</v>
      </c>
      <c r="AJ47">
        <f t="shared" si="14"/>
        <v>9.4364346047796746E-10</v>
      </c>
      <c r="AK47">
        <f t="shared" si="14"/>
        <v>0.13467448695673362</v>
      </c>
    </row>
    <row r="48" spans="1:37" x14ac:dyDescent="0.35">
      <c r="A48" s="8" t="s">
        <v>64</v>
      </c>
      <c r="B48" t="str">
        <f>IF(B47&lt;0.05,"Reject","Accept")</f>
        <v>Reject</v>
      </c>
      <c r="C48" t="str">
        <f t="shared" ref="C48:AE48" si="15">IF(C47&lt;0.05,"Reject","Accept")</f>
        <v>Reject</v>
      </c>
      <c r="D48" t="str">
        <f t="shared" si="15"/>
        <v>Reject</v>
      </c>
      <c r="E48" t="str">
        <f t="shared" si="15"/>
        <v>Reject</v>
      </c>
      <c r="F48" t="str">
        <f t="shared" si="15"/>
        <v>Reject</v>
      </c>
      <c r="G48" t="str">
        <f t="shared" si="15"/>
        <v>Reject</v>
      </c>
      <c r="H48" t="str">
        <f t="shared" si="15"/>
        <v>Reject</v>
      </c>
      <c r="I48" t="str">
        <f t="shared" si="15"/>
        <v>Reject</v>
      </c>
      <c r="J48" t="str">
        <f t="shared" si="15"/>
        <v>Accept</v>
      </c>
      <c r="K48" t="str">
        <f t="shared" si="15"/>
        <v>Accept</v>
      </c>
      <c r="L48" t="str">
        <f t="shared" si="15"/>
        <v>Accept</v>
      </c>
      <c r="M48" t="str">
        <f t="shared" si="15"/>
        <v>Reject</v>
      </c>
      <c r="N48" t="str">
        <f t="shared" si="15"/>
        <v>Accept</v>
      </c>
      <c r="O48" t="str">
        <f t="shared" si="15"/>
        <v>Reject</v>
      </c>
      <c r="P48" t="str">
        <f t="shared" si="15"/>
        <v>Accept</v>
      </c>
      <c r="Q48" t="str">
        <f t="shared" si="15"/>
        <v>Reject</v>
      </c>
      <c r="R48" t="str">
        <f t="shared" si="15"/>
        <v>Reject</v>
      </c>
      <c r="S48" t="str">
        <f t="shared" si="15"/>
        <v>Reject</v>
      </c>
      <c r="T48" t="str">
        <f t="shared" si="15"/>
        <v>Accept</v>
      </c>
      <c r="U48" t="str">
        <f t="shared" si="15"/>
        <v>Reject</v>
      </c>
      <c r="V48" t="str">
        <f t="shared" si="15"/>
        <v>Accept</v>
      </c>
      <c r="W48" t="str">
        <f t="shared" si="15"/>
        <v>Accept</v>
      </c>
      <c r="X48" t="str">
        <f t="shared" si="15"/>
        <v>Accept</v>
      </c>
      <c r="Y48" t="str">
        <f t="shared" si="15"/>
        <v>Reject</v>
      </c>
      <c r="Z48" t="str">
        <f t="shared" si="15"/>
        <v>Reject</v>
      </c>
      <c r="AA48" t="str">
        <f t="shared" si="15"/>
        <v>Reject</v>
      </c>
      <c r="AB48" t="str">
        <f t="shared" si="15"/>
        <v>Accept</v>
      </c>
      <c r="AC48" t="e">
        <f t="shared" si="15"/>
        <v>#DIV/0!</v>
      </c>
      <c r="AD48" t="str">
        <f t="shared" si="15"/>
        <v>Reject</v>
      </c>
      <c r="AE48" t="str">
        <f t="shared" si="15"/>
        <v>Reject</v>
      </c>
      <c r="AF48" t="str">
        <f t="shared" ref="AF48:AK48" si="16">IF(AF47&lt;0.05,"Reject","Accept")</f>
        <v>Accept</v>
      </c>
      <c r="AG48" t="str">
        <f t="shared" si="16"/>
        <v>Reject</v>
      </c>
      <c r="AH48" t="str">
        <f t="shared" si="16"/>
        <v>Accept</v>
      </c>
      <c r="AI48" t="str">
        <f t="shared" si="16"/>
        <v>Accept</v>
      </c>
      <c r="AJ48" t="str">
        <f t="shared" si="16"/>
        <v>Reject</v>
      </c>
      <c r="AK48" t="str">
        <f t="shared" si="16"/>
        <v>Accept</v>
      </c>
    </row>
    <row r="49" spans="1:38" x14ac:dyDescent="0.35">
      <c r="A49" s="8" t="s">
        <v>65</v>
      </c>
      <c r="AF49" s="11"/>
    </row>
    <row r="50" spans="1:38" x14ac:dyDescent="0.35">
      <c r="AF50" s="11"/>
    </row>
    <row r="51" spans="1:38" x14ac:dyDescent="0.35">
      <c r="A51" s="9">
        <v>0.1</v>
      </c>
      <c r="B51">
        <f>_xlfn.PERCENTILE.INC(Таблица1[Приход мляко],$A$51)</f>
        <v>124072.93</v>
      </c>
      <c r="C51">
        <f>_xlfn.PERCENTILE.INC(Таблица1[Приход животни],$A$51)</f>
        <v>0</v>
      </c>
      <c r="D51">
        <f>_xlfn.PERCENTILE.INC(Таблица1[Приходи телета],$A$51)</f>
        <v>0</v>
      </c>
      <c r="E51">
        <f>_xlfn.PERCENTILE.INC(Таблица1[Субсидия],$A$51)</f>
        <v>0</v>
      </c>
      <c r="F51">
        <f>_xlfn.PERCENTILE.INC(Таблица1[Общи приходи],$A$51)</f>
        <v>134778.80499999999</v>
      </c>
      <c r="G51">
        <f>_xlfn.PERCENTILE.INC(Таблица1[Разходи лекарства],$A$51)</f>
        <v>841.78</v>
      </c>
      <c r="H51">
        <f>_xlfn.PERCENTILE.INC(Таблица1[Ел енергия],$A$51)</f>
        <v>3743.08</v>
      </c>
      <c r="I51">
        <f>_xlfn.PERCENTILE.INC(Таблица1[Застраховки],$A$51)</f>
        <v>0</v>
      </c>
      <c r="J51">
        <f>_xlfn.PERCENTILE.INC(Таблица1[Заплати + осигуровки],$A$51)</f>
        <v>3289.9399999999996</v>
      </c>
      <c r="K51">
        <f>_xlfn.PERCENTILE.INC(Таблица1[Кредити],$A$51)</f>
        <v>2375</v>
      </c>
      <c r="L51">
        <f>_xlfn.PERCENTILE.INC(Таблица1[Лихви кредити],$A$51)</f>
        <v>724.53</v>
      </c>
      <c r="M51">
        <f>_xlfn.PERCENTILE.INC(Таблица1[Лизингови договори],$A$51)</f>
        <v>1381.77</v>
      </c>
      <c r="N51">
        <f>_xlfn.PERCENTILE.INC(Таблица1[Гориво],$A$51)</f>
        <v>3714.5550000000003</v>
      </c>
      <c r="O51">
        <f>_xlfn.PERCENTILE.INC(Таблица1[Ремонт],$A$51)</f>
        <v>1649.75</v>
      </c>
      <c r="P51">
        <f>_xlfn.PERCENTILE.INC(Таблица1[Фуражи],$A$51)</f>
        <v>58503.305</v>
      </c>
      <c r="Q51">
        <f>_xlfn.PERCENTILE.INC(Таблица1[Семенна течност],$A$51)</f>
        <v>0</v>
      </c>
      <c r="R51">
        <f>_xlfn.PERCENTILE.INC(Таблица1[Ушни марки],$A$51)</f>
        <v>0</v>
      </c>
      <c r="S51">
        <f>_xlfn.PERCENTILE.INC(Таблица1[Други],$A$51)</f>
        <v>0</v>
      </c>
      <c r="T51">
        <f>_xlfn.PERCENTILE.INC(Таблица1[Общи разходи],$A$51)</f>
        <v>109380.93500000001</v>
      </c>
      <c r="U51">
        <f>_xlfn.PERCENTILE.INC(Таблица1[Печалба на месец],$A$51)</f>
        <v>-10695.160000000003</v>
      </c>
      <c r="V51">
        <f>_xlfn.PERCENTILE.INC(Таблица1[Производствени разходи],$A$51)</f>
        <v>75034.400000000009</v>
      </c>
      <c r="W51">
        <f>_xlfn.PERCENTILE.INC(Таблица1[Литри],$A$51)</f>
        <v>180133</v>
      </c>
      <c r="X51">
        <f>_xlfn.PERCENTILE.INC(Таблица1[Произ. разходи/литър],$A$51)</f>
        <v>0.38587694830596575</v>
      </c>
      <c r="Y51">
        <f>_xlfn.PERCENTILE.INC(Таблица1[Нисък],$A$51)</f>
        <v>0.47</v>
      </c>
      <c r="Z51">
        <f>_xlfn.PERCENTILE.INC(Таблица1[Среден],$A$51)</f>
        <v>0.18</v>
      </c>
      <c r="AA51">
        <f>_xlfn.PERCENTILE.INC(Таблица1[Висок],$A$51)</f>
        <v>0.2</v>
      </c>
      <c r="AB51" s="4">
        <f>_xlfn.PERCENTILE.INC(Таблица1[Мляко/Фураж],$A$51)</f>
        <v>1.3718779990839169</v>
      </c>
      <c r="AC51">
        <f>_xlfn.PERCENTILE.INC(Таблица1[Намален],$A$51)</f>
        <v>1.43</v>
      </c>
      <c r="AD51">
        <f>_xlfn.PERCENTILE.INC(Таблица1[Устойчив],$A$51)</f>
        <v>0.65</v>
      </c>
      <c r="AE51">
        <f>_xlfn.PERCENTILE.INC(Таблица1[Повишен],$A$51)</f>
        <v>0.64</v>
      </c>
      <c r="AF51">
        <f>_xlfn.PERCENTILE.INC(Таблица1[Дата],$A$51)</f>
        <v>43571</v>
      </c>
      <c r="AG51">
        <f>_xlfn.PERCENTILE.INC(AG2:AG37,$A$51)</f>
        <v>0.71061439897303025</v>
      </c>
      <c r="AH51">
        <f>_xlfn.PERCENTILE.INC(AH2:AH37,$A$51)</f>
        <v>0.38587694830596575</v>
      </c>
      <c r="AI51">
        <f>_xlfn.PERCENTILE.INC(AI2:AI37,$A$51)</f>
        <v>2.7469729558422508E-2</v>
      </c>
      <c r="AJ51">
        <f>_xlfn.PERCENTILE.INC(AJ2:AJ37,$A$51)</f>
        <v>-5.4943297326185525E-2</v>
      </c>
      <c r="AK51">
        <f>_xlfn.PERCENTILE.INC(AK2:AK37,$A$51)</f>
        <v>-7.4801170778221363E-2</v>
      </c>
    </row>
    <row r="52" spans="1:38" x14ac:dyDescent="0.35">
      <c r="A52" s="9">
        <v>0.5</v>
      </c>
      <c r="B52">
        <f>_xlfn.PERCENTILE.INC(Таблица1[Приход мляко],$A$52)</f>
        <v>170894.995</v>
      </c>
      <c r="C52">
        <f>_xlfn.PERCENTILE.INC(Таблица1[Приход животни],$A$52)</f>
        <v>0</v>
      </c>
      <c r="D52">
        <f>_xlfn.PERCENTILE.INC(Таблица1[Приходи телета],$A$52)</f>
        <v>0</v>
      </c>
      <c r="E52">
        <f>_xlfn.PERCENTILE.INC(Таблица1[Субсидия],$A$52)</f>
        <v>4936.26</v>
      </c>
      <c r="F52">
        <f>_xlfn.PERCENTILE.INC(Таблица1[Общи приходи],$A$52)</f>
        <v>191410.09</v>
      </c>
      <c r="G52">
        <f>_xlfn.PERCENTILE.INC(Таблица1[Разходи лекарства],$A$52)</f>
        <v>2227.3450000000003</v>
      </c>
      <c r="H52">
        <f>_xlfn.PERCENTILE.INC(Таблица1[Ел енергия],$A$52)</f>
        <v>5338.07</v>
      </c>
      <c r="I52">
        <f>_xlfn.PERCENTILE.INC(Таблица1[Застраховки],$A$52)</f>
        <v>494.08</v>
      </c>
      <c r="J52">
        <f>_xlfn.PERCENTILE.INC(Таблица1[Заплати + осигуровки],$A$52)</f>
        <v>7971.16</v>
      </c>
      <c r="K52">
        <f>_xlfn.PERCENTILE.INC(Таблица1[Кредити],$A$52)</f>
        <v>23829.23</v>
      </c>
      <c r="L52">
        <f>_xlfn.PERCENTILE.INC(Таблица1[Лихви кредити],$A$52)</f>
        <v>5349.8050000000003</v>
      </c>
      <c r="M52">
        <f>_xlfn.PERCENTILE.INC(Таблица1[Лизингови договори],$A$52)</f>
        <v>2601.8850000000002</v>
      </c>
      <c r="N52">
        <f>_xlfn.PERCENTILE.INC(Таблица1[Гориво],$A$52)</f>
        <v>4564.8150000000005</v>
      </c>
      <c r="O52">
        <f>_xlfn.PERCENTILE.INC(Таблица1[Ремонт],$A$52)</f>
        <v>3543.1</v>
      </c>
      <c r="P52">
        <f>_xlfn.PERCENTILE.INC(Таблица1[Фуражи],$A$52)</f>
        <v>101639.30499999999</v>
      </c>
      <c r="Q52">
        <f>_xlfn.PERCENTILE.INC(Таблица1[Семенна течност],$A$52)</f>
        <v>981.3</v>
      </c>
      <c r="R52">
        <f>_xlfn.PERCENTILE.INC(Таблица1[Ушни марки],$A$52)</f>
        <v>0</v>
      </c>
      <c r="S52">
        <f>_xlfn.PERCENTILE.INC(Таблица1[Други],$A$52)</f>
        <v>178.1</v>
      </c>
      <c r="T52">
        <f>_xlfn.PERCENTILE.INC(Таблица1[Общи разходи],$A$52)</f>
        <v>156522.25</v>
      </c>
      <c r="U52">
        <f>_xlfn.PERCENTILE.INC(Таблица1[Печалба на месец],$A$52)</f>
        <v>29409.380000000019</v>
      </c>
      <c r="V52">
        <f>_xlfn.PERCENTILE.INC(Таблица1[Производствени разходи],$A$52)</f>
        <v>134496.85999999999</v>
      </c>
      <c r="W52">
        <f>_xlfn.PERCENTILE.INC(Таблица1[Литри],$A$52)</f>
        <v>215245</v>
      </c>
      <c r="X52">
        <f>_xlfn.PERCENTILE.INC(Таблица1[Произ. разходи/литър],$A$52)</f>
        <v>0.55671361791250384</v>
      </c>
      <c r="Y52">
        <f>_xlfn.PERCENTILE.INC(Таблица1[Нисък],$A$52)</f>
        <v>0.47</v>
      </c>
      <c r="Z52">
        <f>_xlfn.PERCENTILE.INC(Таблица1[Среден],$A$52)</f>
        <v>0.18</v>
      </c>
      <c r="AA52">
        <f>_xlfn.PERCENTILE.INC(Таблица1[Висок],$A$52)</f>
        <v>0.2</v>
      </c>
      <c r="AB52" s="13">
        <f>_xlfn.PERCENTILE.INC(Таблица1[Мляко/Фураж],$A$52)</f>
        <v>1.7276686251709061</v>
      </c>
      <c r="AC52">
        <f>_xlfn.PERCENTILE.INC(Таблица1[Намален],$A$52)</f>
        <v>1.43</v>
      </c>
      <c r="AD52">
        <f>_xlfn.PERCENTILE.INC(Таблица1[Устойчив],$A$52)</f>
        <v>0.65</v>
      </c>
      <c r="AE52">
        <f>_xlfn.PERCENTILE.INC(Таблица1[Повишен],$A$52)</f>
        <v>0.64</v>
      </c>
      <c r="AF52">
        <f>_xlfn.PERCENTILE.INC(Таблица1[Дата],$A$52)</f>
        <v>43998</v>
      </c>
      <c r="AG52">
        <f>_xlfn.PERCENTILE.INC(AG2:AG37,$A$52)</f>
        <v>0.78970393311151477</v>
      </c>
      <c r="AH52" s="12">
        <f>_xlfn.PERCENTILE.INC(AH2:AH37,$A$52)</f>
        <v>0.55671361791250384</v>
      </c>
      <c r="AI52">
        <f>_xlfn.PERCENTILE.INC(AI2:AI37,$A$52)</f>
        <v>0.16974769844726262</v>
      </c>
      <c r="AJ52">
        <f>_xlfn.PERCENTILE.INC(AJ2:AJ37,$A$52)</f>
        <v>0.11633009525504165</v>
      </c>
      <c r="AK52">
        <f>_xlfn.PERCENTILE.INC(AK2:AK37,$A$52)</f>
        <v>0.14901611143914489</v>
      </c>
    </row>
    <row r="53" spans="1:38" x14ac:dyDescent="0.35">
      <c r="A53" s="9">
        <v>0.95</v>
      </c>
      <c r="B53">
        <f>_xlfn.PERCENTILE.INC(Таблица1[Приход мляко],$A$53)</f>
        <v>201376.32750000001</v>
      </c>
      <c r="C53">
        <f>_xlfn.PERCENTILE.INC(Таблица1[Приход животни],$A$53)</f>
        <v>15713.75</v>
      </c>
      <c r="D53">
        <f>_xlfn.PERCENTILE.INC(Таблица1[Приходи телета],$A$53)</f>
        <v>1967</v>
      </c>
      <c r="E53">
        <f>_xlfn.PERCENTILE.INC(Таблица1[Субсидия],$A$53)</f>
        <v>156554.82250000001</v>
      </c>
      <c r="F53">
        <f>_xlfn.PERCENTILE.INC(Таблица1[Общи приходи],$A$53)</f>
        <v>334617.13750000001</v>
      </c>
      <c r="G53">
        <f>_xlfn.PERCENTILE.INC(Таблица1[Разходи лекарства],$A$53)</f>
        <v>5988.7274999999991</v>
      </c>
      <c r="H53">
        <f>_xlfn.PERCENTILE.INC(Таблица1[Ел енергия],$A$53)</f>
        <v>10873.6775</v>
      </c>
      <c r="I53">
        <f>_xlfn.PERCENTILE.INC(Таблица1[Застраховки],$A$53)</f>
        <v>4963.2224999999989</v>
      </c>
      <c r="J53">
        <f>_xlfn.PERCENTILE.INC(Таблица1[Заплати + осигуровки],$A$53)</f>
        <v>9616.4699999999993</v>
      </c>
      <c r="K53">
        <f>_xlfn.PERCENTILE.INC(Таблица1[Кредити],$A$53)</f>
        <v>48993.877500000002</v>
      </c>
      <c r="L53">
        <f>_xlfn.PERCENTILE.INC(Таблица1[Лихви кредити],$A$53)</f>
        <v>12104.692499999999</v>
      </c>
      <c r="M53">
        <f>_xlfn.PERCENTILE.INC(Таблица1[Лизингови договори],$A$53)</f>
        <v>12038.1775</v>
      </c>
      <c r="N53">
        <f>_xlfn.PERCENTILE.INC(Таблица1[Гориво],$A$53)</f>
        <v>8551.3274999999994</v>
      </c>
      <c r="O53">
        <f>_xlfn.PERCENTILE.INC(Таблица1[Ремонт],$A$53)</f>
        <v>6587.3424999999997</v>
      </c>
      <c r="P53">
        <f>_xlfn.PERCENTILE.INC(Таблица1[Фуражи],$A$53)</f>
        <v>132933.4975</v>
      </c>
      <c r="Q53">
        <f>_xlfn.PERCENTILE.INC(Таблица1[Семенна течност],$A$53)</f>
        <v>2369.11</v>
      </c>
      <c r="R53">
        <f>_xlfn.PERCENTILE.INC(Таблица1[Ушни марки],$A$53)</f>
        <v>338.125</v>
      </c>
      <c r="S53">
        <f>_xlfn.PERCENTILE.INC(Таблица1[Други],$A$53)</f>
        <v>3048.7725</v>
      </c>
      <c r="T53">
        <f>_xlfn.PERCENTILE.INC(Таблица1[Общи разходи],$A$53)</f>
        <v>208376.9425</v>
      </c>
      <c r="U53">
        <f>_xlfn.PERCENTILE.INC(Таблица1[Печалба на месец],$A$53)</f>
        <v>158524.27000000002</v>
      </c>
      <c r="V53">
        <f>_xlfn.PERCENTILE.INC(Таблица1[Производствени разходи],$A$53)</f>
        <v>166872.73749999999</v>
      </c>
      <c r="W53">
        <f>_xlfn.PERCENTILE.INC(Таблица1[Литри],$A$53)</f>
        <v>278337.25</v>
      </c>
      <c r="X53">
        <f>_xlfn.PERCENTILE.INC(Таблица1[Произ. разходи/литър],$A$53)</f>
        <v>0.78614459200584386</v>
      </c>
      <c r="Y53">
        <f>_xlfn.PERCENTILE.INC(Таблица1[Нисък],$A$53)</f>
        <v>0.47</v>
      </c>
      <c r="Z53">
        <f>_xlfn.PERCENTILE.INC(Таблица1[Среден],$A$53)</f>
        <v>0.18</v>
      </c>
      <c r="AA53">
        <f>_xlfn.PERCENTILE.INC(Таблица1[Висок],$A$53)</f>
        <v>0.2</v>
      </c>
      <c r="AB53" s="4">
        <f>_xlfn.PERCENTILE.INC(Таблица1[Мляко/Фураж],$A$53)</f>
        <v>2.419331330929881</v>
      </c>
      <c r="AC53">
        <f>_xlfn.PERCENTILE.INC(Таблица1[Намален],$A$53)</f>
        <v>1.43</v>
      </c>
      <c r="AD53">
        <f>_xlfn.PERCENTILE.INC(Таблица1[Устойчив],$A$53)</f>
        <v>0.65</v>
      </c>
      <c r="AE53">
        <f>_xlfn.PERCENTILE.INC(Таблица1[Повишен],$A$53)</f>
        <v>0.64</v>
      </c>
      <c r="AF53">
        <f>_xlfn.PERCENTILE.INC(Таблица1[Дата],$A$53)</f>
        <v>44477.75</v>
      </c>
      <c r="AG53">
        <f>_xlfn.PERCENTILE.INC(AG2:AG37,$A$53)</f>
        <v>1.4777525390299941</v>
      </c>
      <c r="AH53" s="12">
        <f>_xlfn.PERCENTILE.INC(AH2:AH37,$A$53)</f>
        <v>0.78614459200584386</v>
      </c>
      <c r="AI53">
        <f>_xlfn.PERCENTILE.INC(AI2:AI37,$A$53)</f>
        <v>0.34216503468919846</v>
      </c>
      <c r="AJ53">
        <f>_xlfn.PERCENTILE.INC(AJ2:AJ37,$A$53)</f>
        <v>0.72074778783225324</v>
      </c>
      <c r="AK53">
        <f>_xlfn.PERCENTILE.INC(AK2:AK37,$A$53)</f>
        <v>0.4808018470320809</v>
      </c>
    </row>
    <row r="54" spans="1:38" x14ac:dyDescent="0.35">
      <c r="A54" s="9">
        <v>0.05</v>
      </c>
      <c r="B54">
        <f>_xlfn.PERCENTILE.INC(Таблица1[Приход мляко],$A$54)</f>
        <v>109254.20999999999</v>
      </c>
      <c r="C54">
        <f>_xlfn.PERCENTILE.INC(Таблица1[Приход животни],$A$54)</f>
        <v>0</v>
      </c>
      <c r="D54">
        <f>_xlfn.PERCENTILE.INC(Таблица1[Приходи телета],$A$54)</f>
        <v>0</v>
      </c>
      <c r="E54">
        <f>_xlfn.PERCENTILE.INC(Таблица1[Субсидия],$A$54)</f>
        <v>0</v>
      </c>
      <c r="F54">
        <f>_xlfn.PERCENTILE.INC(Таблица1[Общи приходи],$A$54)</f>
        <v>112522.20999999999</v>
      </c>
      <c r="G54">
        <f>_xlfn.PERCENTILE.INC(Таблица1[Разходи лекарства],$A$54)</f>
        <v>681.04250000000002</v>
      </c>
      <c r="H54">
        <f>_xlfn.PERCENTILE.INC(Таблица1[Ел енергия],$A$54)</f>
        <v>3688.0275000000001</v>
      </c>
      <c r="I54">
        <f>_xlfn.PERCENTILE.INC(Таблица1[Застраховки],$A$54)</f>
        <v>0</v>
      </c>
      <c r="J54">
        <f>_xlfn.PERCENTILE.INC(Таблица1[Заплати + осигуровки],$A$54)</f>
        <v>2935.4549999999999</v>
      </c>
      <c r="K54">
        <f>_xlfn.PERCENTILE.INC(Таблица1[Кредити],$A$54)</f>
        <v>0</v>
      </c>
      <c r="L54">
        <f>_xlfn.PERCENTILE.INC(Таблица1[Лихви кредити],$A$54)</f>
        <v>291.78749999999997</v>
      </c>
      <c r="M54">
        <f>_xlfn.PERCENTILE.INC(Таблица1[Лизингови договори],$A$54)</f>
        <v>627.07249999999999</v>
      </c>
      <c r="N54">
        <f>_xlfn.PERCENTILE.INC(Таблица1[Гориво],$A$54)</f>
        <v>3661.4524999999999</v>
      </c>
      <c r="O54">
        <f>_xlfn.PERCENTILE.INC(Таблица1[Ремонт],$A$54)</f>
        <v>1380.0449999999998</v>
      </c>
      <c r="P54">
        <f>_xlfn.PERCENTILE.INC(Таблица1[Фуражи],$A$54)</f>
        <v>56390.61</v>
      </c>
      <c r="Q54">
        <f>_xlfn.PERCENTILE.INC(Таблица1[Семенна течност],$A$54)</f>
        <v>0</v>
      </c>
      <c r="R54">
        <f>_xlfn.PERCENTILE.INC(Таблица1[Ушни марки],$A$54)</f>
        <v>0</v>
      </c>
      <c r="S54">
        <f>_xlfn.PERCENTILE.INC(Таблица1[Други],$A$54)</f>
        <v>0</v>
      </c>
      <c r="T54">
        <f>_xlfn.PERCENTILE.INC(Таблица1[Общи разходи],$A$54)</f>
        <v>106511.77999999998</v>
      </c>
      <c r="U54">
        <f>_xlfn.PERCENTILE.INC(Таблица1[Печалба на месец],$A$54)</f>
        <v>-20015.472499999982</v>
      </c>
      <c r="V54">
        <f>_xlfn.PERCENTILE.INC(Таблица1[Производствени разходи],$A$54)</f>
        <v>72051.895000000004</v>
      </c>
      <c r="W54">
        <f>_xlfn.PERCENTILE.INC(Таблица1[Литри],$A$54)</f>
        <v>157880.25</v>
      </c>
      <c r="X54">
        <f>_xlfn.PERCENTILE.INC(Таблица1[Произ. разходи/литър],$A$54)</f>
        <v>0.37455077749662413</v>
      </c>
      <c r="Y54">
        <f>_xlfn.PERCENTILE.INC(Таблица1[Нисък],$A$54)</f>
        <v>0.47</v>
      </c>
      <c r="Z54">
        <f>_xlfn.PERCENTILE.INC(Таблица1[Среден],$A$54)</f>
        <v>0.18</v>
      </c>
      <c r="AA54">
        <f>_xlfn.PERCENTILE.INC(Таблица1[Висок],$A$54)</f>
        <v>0.2</v>
      </c>
      <c r="AB54" s="13">
        <f>_xlfn.PERCENTILE.INC(Таблица1[Мляко/Фураж],$A$54)</f>
        <v>1.3351819954766442</v>
      </c>
      <c r="AC54">
        <f>_xlfn.PERCENTILE.INC(Таблица1[Намален],$A$54)</f>
        <v>1.43</v>
      </c>
      <c r="AD54">
        <f>_xlfn.PERCENTILE.INC(Таблица1[Устойчив],$A$54)</f>
        <v>0.65</v>
      </c>
      <c r="AE54">
        <f>_xlfn.PERCENTILE.INC(Таблица1[Повишен],$A$54)</f>
        <v>0.64</v>
      </c>
      <c r="AF54">
        <f>_xlfn.PERCENTILE.INC(Таблица1[Дата],$A$54)</f>
        <v>43518</v>
      </c>
      <c r="AG54">
        <f>_xlfn.PERCENTILE.INC(AG2:AG37,$A$54)</f>
        <v>0.70864175739817703</v>
      </c>
      <c r="AH54">
        <f>_xlfn.PERCENTILE.INC(AH2:AH37,$A$54)</f>
        <v>0.37455077749662413</v>
      </c>
      <c r="AI54">
        <f>_xlfn.PERCENTILE.INC(AI2:AI37,$A$54)</f>
        <v>1.3668969735537322E-2</v>
      </c>
      <c r="AJ54">
        <f>_xlfn.PERCENTILE.INC(AJ2:AJ37,$A$54)</f>
        <v>-0.16677857264274282</v>
      </c>
      <c r="AK54">
        <f>_xlfn.PERCENTILE.INC(AK2:AK37,$A$54)</f>
        <v>-0.2278263685309837</v>
      </c>
    </row>
    <row r="55" spans="1:38" x14ac:dyDescent="0.35">
      <c r="A55" s="9">
        <v>0.25</v>
      </c>
      <c r="B55">
        <f>_xlfn.PERCENTILE.INC(Таблица1[Приход мляко],$A$55)</f>
        <v>150956.4725</v>
      </c>
      <c r="C55">
        <f>_xlfn.PERCENTILE.INC(Таблица1[Приход животни],$A$55)</f>
        <v>0</v>
      </c>
      <c r="D55">
        <f>_xlfn.PERCENTILE.INC(Таблица1[Приходи телета],$A$55)</f>
        <v>0</v>
      </c>
      <c r="E55">
        <f>_xlfn.PERCENTILE.INC(Таблица1[Субсидия],$A$55)</f>
        <v>0</v>
      </c>
      <c r="F55">
        <f>_xlfn.PERCENTILE.INC(Таблица1[Общи приходи],$A$55)</f>
        <v>157687.72249999997</v>
      </c>
      <c r="G55">
        <f>_xlfn.PERCENTILE.INC(Таблица1[Разходи лекарства],$A$55)</f>
        <v>1170.595</v>
      </c>
      <c r="H55">
        <f>_xlfn.PERCENTILE.INC(Таблица1[Ел енергия],$A$55)</f>
        <v>4438.9500000000007</v>
      </c>
      <c r="I55">
        <f>_xlfn.PERCENTILE.INC(Таблица1[Застраховки],$A$55)</f>
        <v>30.4</v>
      </c>
      <c r="J55">
        <f>_xlfn.PERCENTILE.INC(Таблица1[Заплати + осигуровки],$A$55)</f>
        <v>4169.6450000000004</v>
      </c>
      <c r="K55">
        <f>_xlfn.PERCENTILE.INC(Таблица1[Кредити],$A$55)</f>
        <v>17541.442499999997</v>
      </c>
      <c r="L55">
        <f>_xlfn.PERCENTILE.INC(Таблица1[Лихви кредити],$A$55)</f>
        <v>1420.1949999999999</v>
      </c>
      <c r="M55">
        <f>_xlfn.PERCENTILE.INC(Таблица1[Лизингови договори],$A$55)</f>
        <v>1780.8575000000001</v>
      </c>
      <c r="N55">
        <f>_xlfn.PERCENTILE.INC(Таблица1[Гориво],$A$55)</f>
        <v>3850.1350000000002</v>
      </c>
      <c r="O55">
        <f>_xlfn.PERCENTILE.INC(Таблица1[Ремонт],$A$55)</f>
        <v>2244.0924999999997</v>
      </c>
      <c r="P55">
        <f>_xlfn.PERCENTILE.INC(Таблица1[Фуражи],$A$55)</f>
        <v>73838.682499999995</v>
      </c>
      <c r="Q55">
        <f>_xlfn.PERCENTILE.INC(Таблица1[Семенна течност],$A$55)</f>
        <v>0</v>
      </c>
      <c r="R55">
        <f>_xlfn.PERCENTILE.INC(Таблица1[Ушни марки],$A$55)</f>
        <v>0</v>
      </c>
      <c r="S55">
        <f>_xlfn.PERCENTILE.INC(Таблица1[Други],$A$55)</f>
        <v>0</v>
      </c>
      <c r="T55">
        <f>_xlfn.PERCENTILE.INC(Таблица1[Общи разходи],$A$55)</f>
        <v>134321.89749999999</v>
      </c>
      <c r="U55">
        <f>_xlfn.PERCENTILE.INC(Таблица1[Печалба на месец],$A$55)</f>
        <v>7303.7900000000154</v>
      </c>
      <c r="V55">
        <f>_xlfn.PERCENTILE.INC(Таблица1[Производствени разходи],$A$55)</f>
        <v>91779.982499999984</v>
      </c>
      <c r="W55">
        <f>_xlfn.PERCENTILE.INC(Таблица1[Литри],$A$55)</f>
        <v>201419.5</v>
      </c>
      <c r="X55">
        <f>_xlfn.PERCENTILE.INC(Таблица1[Произ. разходи/литър],$A$55)</f>
        <v>0.49113716918126094</v>
      </c>
      <c r="Y55">
        <f>_xlfn.PERCENTILE.INC(Таблица1[Нисък],$A$55)</f>
        <v>0.47</v>
      </c>
      <c r="Z55">
        <f>_xlfn.PERCENTILE.INC(Таблица1[Среден],$A$55)</f>
        <v>0.18</v>
      </c>
      <c r="AA55">
        <f>_xlfn.PERCENTILE.INC(Таблица1[Висок],$A$55)</f>
        <v>0.2</v>
      </c>
      <c r="AB55" s="4">
        <f>_xlfn.PERCENTILE.INC(Таблица1[Мляко/Фураж],$A$55)</f>
        <v>1.459704593933596</v>
      </c>
      <c r="AC55">
        <f>_xlfn.PERCENTILE.INC(Таблица1[Намален],$A$55)</f>
        <v>1.43</v>
      </c>
      <c r="AD55">
        <f>_xlfn.PERCENTILE.INC(Таблица1[Устойчив],$A$55)</f>
        <v>0.65</v>
      </c>
      <c r="AE55">
        <f>_xlfn.PERCENTILE.INC(Таблица1[Повишен],$A$55)</f>
        <v>0.64</v>
      </c>
      <c r="AF55">
        <f>_xlfn.PERCENTILE.INC(Таблица1[Дата],$A$55)</f>
        <v>43731.5</v>
      </c>
      <c r="AG55">
        <f>_xlfn.PERCENTILE.INC(Таблица1[Приход мляко],$A$55)</f>
        <v>150956.4725</v>
      </c>
      <c r="AH55">
        <f>_xlfn.PERCENTILE.INC(AH3:AH38,$A$55)</f>
        <v>0.48702661520985874</v>
      </c>
      <c r="AI55">
        <f>_xlfn.PERCENTILE.INC(Таблица1[Приходи телета],$A$55)</f>
        <v>0</v>
      </c>
      <c r="AJ55">
        <f>_xlfn.PERCENTILE.INC(Таблица1[Субсидия],$A$55)</f>
        <v>0</v>
      </c>
      <c r="AK55">
        <f>_xlfn.PERCENTILE.INC(Таблица1[Общи приходи],$A$55)</f>
        <v>157687.72249999997</v>
      </c>
    </row>
    <row r="56" spans="1:38" x14ac:dyDescent="0.35">
      <c r="A56" s="9">
        <v>0.75</v>
      </c>
      <c r="B56">
        <f>_xlfn.PERCENTILE.INC(Таблица1[Приход мляко],$A$56)</f>
        <v>185069.3775</v>
      </c>
      <c r="AB56" s="4">
        <f>_xlfn.PERCENTILE.INC(Таблица1[Мляко/Фураж],$A$56)</f>
        <v>1.9961911385627622</v>
      </c>
      <c r="AH56">
        <f>_xlfn.PERCENTILE.INC(AH4:AH39,$A$56)</f>
        <v>0.61594587108138543</v>
      </c>
    </row>
    <row r="57" spans="1:38" x14ac:dyDescent="0.35">
      <c r="A57" s="9">
        <v>0.2</v>
      </c>
      <c r="X57" s="4">
        <f>_xlfn.PERCENTILE.INC(Таблица1[Произ. разходи/литър],$A$57)</f>
        <v>0.46689169823156162</v>
      </c>
      <c r="Y57" s="4">
        <f>_xlfn.PERCENTILE.INC(Таблица1[Нисък],$A$57)</f>
        <v>0.47</v>
      </c>
      <c r="Z57" s="4">
        <f>_xlfn.PERCENTILE.INC(Таблица1[Среден],$A$57)</f>
        <v>0.18</v>
      </c>
      <c r="AA57" s="4">
        <f>_xlfn.PERCENTILE.INC(Таблица1[Висок],$A$57)</f>
        <v>0.2</v>
      </c>
      <c r="AB57" s="4">
        <f>_xlfn.PERCENTILE.INC(Таблица1[Мляко/Фураж],$A$57)</f>
        <v>1.4264733073460838</v>
      </c>
      <c r="AK57" s="4">
        <f>_xlfn.PERCENTILE.INC($AK$2:$AK$37,AL57)</f>
        <v>2.1327846264401738E-2</v>
      </c>
      <c r="AL57" s="9">
        <v>0.2</v>
      </c>
    </row>
    <row r="58" spans="1:38" x14ac:dyDescent="0.35">
      <c r="A58" s="9">
        <v>0.8</v>
      </c>
      <c r="X58" s="4">
        <f>_xlfn.PERCENTILE.INC(Таблица1[Произ. разходи/литър],$A$58)</f>
        <v>0.65068187497901897</v>
      </c>
      <c r="Y58" s="4">
        <f>_xlfn.PERCENTILE.INC(Таблица1[Нисък],$A$58)</f>
        <v>0.47</v>
      </c>
      <c r="Z58" s="4">
        <f>_xlfn.PERCENTILE.INC(Таблица1[Среден],$A$58)</f>
        <v>0.18</v>
      </c>
      <c r="AA58" s="4">
        <f>_xlfn.PERCENTILE.INC(Таблица1[Висок],$A$58)</f>
        <v>0.2</v>
      </c>
      <c r="AB58" s="4">
        <f>_xlfn.PERCENTILE.INC(Таблица1[Мляко/Фураж],$A$58)</f>
        <v>2.0748997529416568</v>
      </c>
      <c r="AK58" s="4">
        <f>_xlfn.PERCENTILE.INC($AK$2:$AK$37,AL58)</f>
        <v>0.29306100720463996</v>
      </c>
      <c r="AL58" s="9">
        <v>0.8</v>
      </c>
    </row>
    <row r="59" spans="1:38" x14ac:dyDescent="0.35">
      <c r="AK59" s="4">
        <f>_xlfn.PERCENTILE.INC($AK$2:$AK$37,AL59)</f>
        <v>0.14901611143914489</v>
      </c>
      <c r="AL59" s="9">
        <v>0.5</v>
      </c>
    </row>
    <row r="60" spans="1:38" x14ac:dyDescent="0.35">
      <c r="AK60" s="4"/>
    </row>
  </sheetData>
  <conditionalFormatting sqref="B1">
    <cfRule type="top10" dxfId="2" priority="1" bottom="1" rank="10"/>
  </conditionalFormatting>
  <conditionalFormatting sqref="B2:B37">
    <cfRule type="top10" dxfId="1" priority="2" bottom="1" rank="10"/>
  </conditionalFormatting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7F531-0D40-41F5-8D07-C63B5E259F38}">
  <dimension ref="A1:AA118"/>
  <sheetViews>
    <sheetView topLeftCell="A91" zoomScale="70" zoomScaleNormal="70" workbookViewId="0">
      <selection activeCell="B107" sqref="B107"/>
    </sheetView>
  </sheetViews>
  <sheetFormatPr defaultRowHeight="14.5" x14ac:dyDescent="0.35"/>
  <cols>
    <col min="1" max="1" width="24.26953125" bestFit="1" customWidth="1"/>
    <col min="2" max="2" width="16.1796875" customWidth="1"/>
    <col min="3" max="3" width="18.26953125" customWidth="1"/>
    <col min="4" max="4" width="17.7265625" customWidth="1"/>
    <col min="5" max="5" width="11.7265625" customWidth="1"/>
    <col min="6" max="6" width="16.7265625" customWidth="1"/>
    <col min="7" max="7" width="20.1796875" customWidth="1"/>
    <col min="8" max="8" width="13.1796875" customWidth="1"/>
    <col min="9" max="9" width="14.453125" customWidth="1"/>
    <col min="10" max="10" width="22.54296875" customWidth="1"/>
    <col min="11" max="11" width="10.81640625" customWidth="1"/>
    <col min="12" max="12" width="16.7265625" customWidth="1"/>
    <col min="13" max="13" width="21.7265625" customWidth="1"/>
    <col min="14" max="14" width="9.54296875" customWidth="1"/>
    <col min="15" max="15" width="13.453125" bestFit="1" customWidth="1"/>
    <col min="16" max="16" width="10.26953125" customWidth="1"/>
    <col min="17" max="17" width="18.7265625" customWidth="1"/>
    <col min="18" max="18" width="14.26953125" customWidth="1"/>
    <col min="19" max="19" width="13.453125" bestFit="1" customWidth="1"/>
    <col min="20" max="20" width="16.26953125" customWidth="1"/>
    <col min="21" max="21" width="19.54296875" customWidth="1"/>
    <col min="22" max="22" width="26" customWidth="1"/>
    <col min="23" max="23" width="13.453125" bestFit="1" customWidth="1"/>
    <col min="24" max="24" width="24.1796875" bestFit="1" customWidth="1"/>
    <col min="25" max="25" width="16" customWidth="1"/>
    <col min="26" max="26" width="18.81640625" bestFit="1" customWidth="1"/>
    <col min="27" max="27" width="12.54296875" bestFit="1" customWidth="1"/>
  </cols>
  <sheetData>
    <row r="1" spans="1:27" x14ac:dyDescent="0.35">
      <c r="A1" t="s">
        <v>19</v>
      </c>
      <c r="B1" t="s">
        <v>0</v>
      </c>
      <c r="C1" t="s">
        <v>1</v>
      </c>
      <c r="D1" t="s">
        <v>2</v>
      </c>
      <c r="E1" t="s">
        <v>3</v>
      </c>
      <c r="F1" s="1" t="s">
        <v>4</v>
      </c>
      <c r="G1" s="3" t="s">
        <v>5</v>
      </c>
      <c r="H1" s="3" t="s">
        <v>6</v>
      </c>
      <c r="I1" t="s">
        <v>7</v>
      </c>
      <c r="J1" s="3" t="s">
        <v>8</v>
      </c>
      <c r="K1" t="s">
        <v>9</v>
      </c>
      <c r="L1" t="s">
        <v>10</v>
      </c>
      <c r="M1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t="s">
        <v>18</v>
      </c>
      <c r="U1" t="s">
        <v>33</v>
      </c>
      <c r="V1" t="s">
        <v>38</v>
      </c>
      <c r="W1" t="s">
        <v>32</v>
      </c>
      <c r="X1" t="s">
        <v>50</v>
      </c>
      <c r="Y1" t="s">
        <v>34</v>
      </c>
      <c r="Z1" t="s">
        <v>75</v>
      </c>
      <c r="AA1" t="s">
        <v>87</v>
      </c>
    </row>
    <row r="2" spans="1:27" x14ac:dyDescent="0.35">
      <c r="A2" s="2">
        <v>43466</v>
      </c>
      <c r="B2">
        <v>70344.399999999994</v>
      </c>
      <c r="C2">
        <v>0</v>
      </c>
      <c r="D2">
        <v>0</v>
      </c>
      <c r="E2">
        <v>2429.33</v>
      </c>
      <c r="F2" s="1">
        <f>SUM(B2:E2)</f>
        <v>72773.73</v>
      </c>
      <c r="G2">
        <v>966.23</v>
      </c>
      <c r="H2">
        <v>4380.63</v>
      </c>
      <c r="I2">
        <v>0</v>
      </c>
      <c r="J2">
        <v>2973.52</v>
      </c>
      <c r="K2">
        <v>7690.23</v>
      </c>
      <c r="L2">
        <v>5572.0400000000009</v>
      </c>
      <c r="M2">
        <v>6440.0400000000009</v>
      </c>
      <c r="N2">
        <v>3782.54</v>
      </c>
      <c r="O2">
        <v>1105.95</v>
      </c>
      <c r="P2">
        <v>71246.76999999999</v>
      </c>
      <c r="Q2">
        <v>1189.8</v>
      </c>
      <c r="R2">
        <v>42</v>
      </c>
      <c r="S2">
        <v>0</v>
      </c>
      <c r="T2" s="1">
        <f>SUM(G2:S2)</f>
        <v>105389.74999999999</v>
      </c>
      <c r="U2">
        <f>F2-T2</f>
        <v>-32616.01999999999</v>
      </c>
      <c r="V2">
        <f>SUM(G2,H2,J2,N2,O2,P2,Q2,R2,S2)</f>
        <v>85687.439999999988</v>
      </c>
      <c r="W2">
        <v>100492</v>
      </c>
      <c r="X2" s="4">
        <f>V2/W2</f>
        <v>0.85267921824622839</v>
      </c>
      <c r="Y2" s="4">
        <f t="shared" ref="Y2:Y37" si="0">B2/P2</f>
        <v>0.98733458372919924</v>
      </c>
      <c r="Z2" s="4">
        <f t="shared" ref="Z2:Z37" si="1">U2/F2</f>
        <v>-0.44818398067544418</v>
      </c>
      <c r="AA2" s="4">
        <v>0.7</v>
      </c>
    </row>
    <row r="3" spans="1:27" x14ac:dyDescent="0.35">
      <c r="A3" s="2">
        <v>43497</v>
      </c>
      <c r="B3">
        <v>88714.5</v>
      </c>
      <c r="C3">
        <v>2356</v>
      </c>
      <c r="D3">
        <v>0</v>
      </c>
      <c r="E3">
        <v>0</v>
      </c>
      <c r="F3" s="1">
        <f t="shared" ref="F3:F37" si="2">SUM(B3:E3)</f>
        <v>91070.5</v>
      </c>
      <c r="G3">
        <v>1349.9099999999999</v>
      </c>
      <c r="H3">
        <v>3967.65</v>
      </c>
      <c r="I3">
        <v>0</v>
      </c>
      <c r="J3">
        <v>3550.95</v>
      </c>
      <c r="K3">
        <v>6000</v>
      </c>
      <c r="L3">
        <v>10427.81</v>
      </c>
      <c r="M3">
        <v>1713.8</v>
      </c>
      <c r="N3">
        <v>3697.19</v>
      </c>
      <c r="O3">
        <v>3078.37</v>
      </c>
      <c r="P3">
        <v>71556.709999999992</v>
      </c>
      <c r="Q3">
        <v>1333.4</v>
      </c>
      <c r="R3">
        <v>0</v>
      </c>
      <c r="S3">
        <v>210</v>
      </c>
      <c r="T3" s="1">
        <f t="shared" ref="T3:T37" si="3">SUM(G3:S3)</f>
        <v>106885.78999999998</v>
      </c>
      <c r="U3">
        <f t="shared" ref="U3:U37" si="4">F3-T3</f>
        <v>-15815.289999999979</v>
      </c>
      <c r="V3">
        <f t="shared" ref="V3:V37" si="5">SUM(G3,H3,J3,N3,O3,P3,Q3,R3,S3)</f>
        <v>88744.18</v>
      </c>
      <c r="W3">
        <v>126735</v>
      </c>
      <c r="X3" s="4">
        <f t="shared" ref="X3:X37" si="6">V3/W3</f>
        <v>0.70023418945042804</v>
      </c>
      <c r="Y3" s="4">
        <f t="shared" si="0"/>
        <v>1.2397789110203643</v>
      </c>
      <c r="Z3" s="4">
        <f t="shared" si="1"/>
        <v>-0.17365985692403116</v>
      </c>
      <c r="AA3" s="4">
        <v>0.7</v>
      </c>
    </row>
    <row r="4" spans="1:27" x14ac:dyDescent="0.35">
      <c r="A4" s="2">
        <v>43525</v>
      </c>
      <c r="B4">
        <v>116100.78</v>
      </c>
      <c r="C4">
        <v>3572</v>
      </c>
      <c r="D4">
        <v>0</v>
      </c>
      <c r="E4">
        <v>0</v>
      </c>
      <c r="F4" s="1">
        <f t="shared" si="2"/>
        <v>119672.78</v>
      </c>
      <c r="G4">
        <v>947.92</v>
      </c>
      <c r="H4">
        <v>3735.31</v>
      </c>
      <c r="I4">
        <v>486.02</v>
      </c>
      <c r="J4">
        <v>3550.95</v>
      </c>
      <c r="K4">
        <v>25195.23</v>
      </c>
      <c r="L4">
        <v>10360.36</v>
      </c>
      <c r="M4">
        <v>1717.4</v>
      </c>
      <c r="N4">
        <v>3788.98</v>
      </c>
      <c r="O4">
        <v>159.32</v>
      </c>
      <c r="P4">
        <v>78908.08</v>
      </c>
      <c r="Q4">
        <v>1082.4000000000001</v>
      </c>
      <c r="R4">
        <v>144.5</v>
      </c>
      <c r="S4">
        <v>0</v>
      </c>
      <c r="T4" s="1">
        <f t="shared" si="3"/>
        <v>130076.47</v>
      </c>
      <c r="U4">
        <f t="shared" si="4"/>
        <v>-10403.690000000002</v>
      </c>
      <c r="V4">
        <f t="shared" si="5"/>
        <v>92317.459999999992</v>
      </c>
      <c r="W4">
        <v>168262</v>
      </c>
      <c r="X4" s="4">
        <f t="shared" si="6"/>
        <v>0.54865305297690503</v>
      </c>
      <c r="Y4" s="4">
        <f t="shared" si="0"/>
        <v>1.4713420982996925</v>
      </c>
      <c r="Z4" s="4">
        <f t="shared" si="1"/>
        <v>-8.693447248405195E-2</v>
      </c>
      <c r="AA4" s="4">
        <v>0.69</v>
      </c>
    </row>
    <row r="5" spans="1:27" x14ac:dyDescent="0.35">
      <c r="A5" s="2">
        <v>43556</v>
      </c>
      <c r="B5">
        <v>121718.2</v>
      </c>
      <c r="C5">
        <v>0</v>
      </c>
      <c r="D5">
        <v>0</v>
      </c>
      <c r="E5">
        <v>87679.55</v>
      </c>
      <c r="F5" s="1">
        <f t="shared" si="2"/>
        <v>209397.75</v>
      </c>
      <c r="G5">
        <v>700.39</v>
      </c>
      <c r="H5">
        <v>3744.47</v>
      </c>
      <c r="I5">
        <v>30.4</v>
      </c>
      <c r="J5">
        <v>3550.95</v>
      </c>
      <c r="K5">
        <v>25195.23</v>
      </c>
      <c r="L5">
        <v>10391.799999999997</v>
      </c>
      <c r="M5">
        <v>1725.3899999999999</v>
      </c>
      <c r="N5">
        <v>3788.98</v>
      </c>
      <c r="O5">
        <v>2165.62</v>
      </c>
      <c r="P5">
        <v>52766.18</v>
      </c>
      <c r="Q5">
        <v>910.4</v>
      </c>
      <c r="R5">
        <v>0</v>
      </c>
      <c r="S5">
        <v>0</v>
      </c>
      <c r="T5" s="1">
        <f t="shared" si="3"/>
        <v>104969.81</v>
      </c>
      <c r="U5">
        <f t="shared" si="4"/>
        <v>104427.94</v>
      </c>
      <c r="V5">
        <f t="shared" si="5"/>
        <v>67626.989999999991</v>
      </c>
      <c r="W5">
        <v>180344</v>
      </c>
      <c r="X5" s="4">
        <f t="shared" si="6"/>
        <v>0.37498885463336729</v>
      </c>
      <c r="Y5" s="4">
        <f t="shared" si="0"/>
        <v>2.3067464804160545</v>
      </c>
      <c r="Z5" s="4">
        <f t="shared" si="1"/>
        <v>0.49870612267801351</v>
      </c>
      <c r="AA5" s="4">
        <v>0.67492237058066806</v>
      </c>
    </row>
    <row r="6" spans="1:27" x14ac:dyDescent="0.35">
      <c r="A6" s="2">
        <v>43586</v>
      </c>
      <c r="B6">
        <v>128595.11</v>
      </c>
      <c r="C6">
        <v>14735</v>
      </c>
      <c r="D6">
        <v>0</v>
      </c>
      <c r="E6">
        <v>12244.630000000001</v>
      </c>
      <c r="F6" s="1">
        <f t="shared" si="2"/>
        <v>155574.74</v>
      </c>
      <c r="G6">
        <v>1158.0700000000002</v>
      </c>
      <c r="H6">
        <v>3546.18</v>
      </c>
      <c r="I6">
        <v>863.03</v>
      </c>
      <c r="J6">
        <v>3727.46</v>
      </c>
      <c r="K6">
        <v>25195.23</v>
      </c>
      <c r="L6">
        <v>10553.77</v>
      </c>
      <c r="M6">
        <v>1733.41</v>
      </c>
      <c r="N6">
        <v>3870.52</v>
      </c>
      <c r="O6">
        <v>2517.71</v>
      </c>
      <c r="P6">
        <v>55658.07</v>
      </c>
      <c r="Q6">
        <v>1158.4000000000001</v>
      </c>
      <c r="R6">
        <v>0</v>
      </c>
      <c r="S6">
        <v>0</v>
      </c>
      <c r="T6" s="1">
        <f t="shared" si="3"/>
        <v>109981.85</v>
      </c>
      <c r="U6">
        <f t="shared" si="4"/>
        <v>45592.889999999985</v>
      </c>
      <c r="V6">
        <f t="shared" si="5"/>
        <v>71636.409999999989</v>
      </c>
      <c r="W6">
        <v>191933</v>
      </c>
      <c r="X6" s="4">
        <f t="shared" si="6"/>
        <v>0.37323654608639467</v>
      </c>
      <c r="Y6" s="4">
        <f t="shared" si="0"/>
        <v>2.3104486016133867</v>
      </c>
      <c r="Z6" s="4">
        <f t="shared" si="1"/>
        <v>0.29306100720463996</v>
      </c>
      <c r="AA6" s="4">
        <v>0.67</v>
      </c>
    </row>
    <row r="7" spans="1:27" x14ac:dyDescent="0.35">
      <c r="A7" s="2">
        <v>43617</v>
      </c>
      <c r="B7">
        <v>126427.66</v>
      </c>
      <c r="C7">
        <v>0</v>
      </c>
      <c r="D7">
        <v>0</v>
      </c>
      <c r="E7">
        <v>0</v>
      </c>
      <c r="F7" s="1">
        <f t="shared" si="2"/>
        <v>126427.66</v>
      </c>
      <c r="G7">
        <v>909.38</v>
      </c>
      <c r="H7">
        <v>3417.36</v>
      </c>
      <c r="I7">
        <v>309.67</v>
      </c>
      <c r="J7">
        <v>4236.05</v>
      </c>
      <c r="K7">
        <v>25195.23</v>
      </c>
      <c r="L7">
        <v>14829.17</v>
      </c>
      <c r="M7">
        <v>1745.18</v>
      </c>
      <c r="N7">
        <v>3778.22</v>
      </c>
      <c r="O7">
        <v>2479.67</v>
      </c>
      <c r="P7">
        <v>57326.180000000008</v>
      </c>
      <c r="Q7">
        <v>1590.4</v>
      </c>
      <c r="R7">
        <v>0</v>
      </c>
      <c r="S7">
        <v>0</v>
      </c>
      <c r="T7" s="1">
        <f t="shared" si="3"/>
        <v>115816.51000000001</v>
      </c>
      <c r="U7">
        <f t="shared" si="4"/>
        <v>10611.149999999994</v>
      </c>
      <c r="V7">
        <f t="shared" si="5"/>
        <v>73737.260000000009</v>
      </c>
      <c r="W7">
        <v>188698</v>
      </c>
      <c r="X7" s="4">
        <f t="shared" si="6"/>
        <v>0.39076863559762165</v>
      </c>
      <c r="Y7" s="4">
        <f t="shared" si="0"/>
        <v>2.2054087678613854</v>
      </c>
      <c r="Z7" s="4">
        <f t="shared" si="1"/>
        <v>8.3930605059051117E-2</v>
      </c>
      <c r="AA7" s="4">
        <v>0.67</v>
      </c>
    </row>
    <row r="8" spans="1:27" x14ac:dyDescent="0.35">
      <c r="A8" s="2">
        <v>43647</v>
      </c>
      <c r="B8">
        <v>142250.63</v>
      </c>
      <c r="C8">
        <v>0</v>
      </c>
      <c r="D8">
        <v>0</v>
      </c>
      <c r="E8">
        <v>5480</v>
      </c>
      <c r="F8" s="1">
        <f t="shared" si="2"/>
        <v>147730.63</v>
      </c>
      <c r="G8">
        <v>349.93</v>
      </c>
      <c r="H8">
        <v>4218.97</v>
      </c>
      <c r="I8">
        <v>793.11999999999989</v>
      </c>
      <c r="J8">
        <v>4737.6099999999997</v>
      </c>
      <c r="K8">
        <v>25195.23</v>
      </c>
      <c r="L8">
        <v>11225.07</v>
      </c>
      <c r="M8">
        <v>31090.460000000003</v>
      </c>
      <c r="N8">
        <v>3730.57</v>
      </c>
      <c r="O8">
        <v>1471.4099999999999</v>
      </c>
      <c r="P8">
        <v>59680.429999999993</v>
      </c>
      <c r="Q8">
        <v>970.6</v>
      </c>
      <c r="R8">
        <v>0</v>
      </c>
      <c r="S8">
        <v>1172.02</v>
      </c>
      <c r="T8" s="1">
        <f t="shared" si="3"/>
        <v>144635.41999999998</v>
      </c>
      <c r="U8">
        <f t="shared" si="4"/>
        <v>3095.210000000021</v>
      </c>
      <c r="V8">
        <f t="shared" si="5"/>
        <v>76331.540000000008</v>
      </c>
      <c r="W8">
        <v>200353</v>
      </c>
      <c r="X8" s="4">
        <f t="shared" si="6"/>
        <v>0.3809852610143098</v>
      </c>
      <c r="Y8" s="4">
        <f t="shared" si="0"/>
        <v>2.3835389590859184</v>
      </c>
      <c r="Z8" s="4">
        <f t="shared" si="1"/>
        <v>2.0951714617341174E-2</v>
      </c>
      <c r="AA8" s="4">
        <v>0.71000000000000008</v>
      </c>
    </row>
    <row r="9" spans="1:27" x14ac:dyDescent="0.35">
      <c r="A9" s="2">
        <v>43678</v>
      </c>
      <c r="B9">
        <v>153521.88</v>
      </c>
      <c r="C9">
        <v>0</v>
      </c>
      <c r="D9">
        <v>0</v>
      </c>
      <c r="E9">
        <v>0</v>
      </c>
      <c r="F9" s="1">
        <f t="shared" si="2"/>
        <v>153521.88</v>
      </c>
      <c r="G9">
        <v>774.18</v>
      </c>
      <c r="H9">
        <v>4514.63</v>
      </c>
      <c r="I9">
        <v>1436.93</v>
      </c>
      <c r="J9">
        <v>3970.4300000000003</v>
      </c>
      <c r="K9">
        <v>25195.23</v>
      </c>
      <c r="L9">
        <v>5405.44</v>
      </c>
      <c r="M9">
        <v>4552.0300000000007</v>
      </c>
      <c r="N9">
        <v>3698.54</v>
      </c>
      <c r="O9">
        <v>1642.2199999999998</v>
      </c>
      <c r="P9">
        <v>56634.79</v>
      </c>
      <c r="Q9">
        <v>797.6</v>
      </c>
      <c r="R9">
        <v>0</v>
      </c>
      <c r="S9">
        <v>158</v>
      </c>
      <c r="T9" s="1">
        <f t="shared" si="3"/>
        <v>108780.02000000002</v>
      </c>
      <c r="U9">
        <f t="shared" si="4"/>
        <v>44741.859999999986</v>
      </c>
      <c r="V9">
        <f t="shared" si="5"/>
        <v>72190.390000000014</v>
      </c>
      <c r="W9">
        <v>216228</v>
      </c>
      <c r="X9" s="4">
        <f t="shared" si="6"/>
        <v>0.33386235825147537</v>
      </c>
      <c r="Y9" s="4">
        <f t="shared" si="0"/>
        <v>2.7107345149509694</v>
      </c>
      <c r="Z9" s="4">
        <f t="shared" si="1"/>
        <v>0.29143637375988352</v>
      </c>
      <c r="AA9" s="4">
        <v>0.71000000000000008</v>
      </c>
    </row>
    <row r="10" spans="1:27" x14ac:dyDescent="0.35">
      <c r="A10" s="2">
        <v>43709</v>
      </c>
      <c r="B10">
        <v>143260.25</v>
      </c>
      <c r="C10">
        <v>0</v>
      </c>
      <c r="D10">
        <v>0</v>
      </c>
      <c r="E10">
        <v>0</v>
      </c>
      <c r="F10" s="1">
        <f t="shared" si="2"/>
        <v>143260.25</v>
      </c>
      <c r="G10">
        <v>1174.77</v>
      </c>
      <c r="H10">
        <v>4235.33</v>
      </c>
      <c r="I10">
        <v>4882.1299999999992</v>
      </c>
      <c r="J10">
        <v>2821.26</v>
      </c>
      <c r="K10">
        <v>25195.23</v>
      </c>
      <c r="L10">
        <v>11455.25</v>
      </c>
      <c r="M10">
        <v>9293.86</v>
      </c>
      <c r="N10">
        <v>3875.1</v>
      </c>
      <c r="O10">
        <v>2150.3200000000002</v>
      </c>
      <c r="P10">
        <v>69044.42</v>
      </c>
      <c r="Q10">
        <v>790</v>
      </c>
      <c r="R10">
        <v>225</v>
      </c>
      <c r="S10">
        <v>0</v>
      </c>
      <c r="T10" s="1">
        <f t="shared" si="3"/>
        <v>135142.66999999998</v>
      </c>
      <c r="U10">
        <f t="shared" si="4"/>
        <v>8117.5800000000163</v>
      </c>
      <c r="V10">
        <f t="shared" si="5"/>
        <v>84316.2</v>
      </c>
      <c r="W10">
        <v>201775</v>
      </c>
      <c r="X10" s="4">
        <f t="shared" si="6"/>
        <v>0.41787238260438608</v>
      </c>
      <c r="Y10" s="4">
        <f t="shared" si="0"/>
        <v>2.0748997529416568</v>
      </c>
      <c r="Z10" s="4">
        <f t="shared" si="1"/>
        <v>5.6663170698082799E-2</v>
      </c>
      <c r="AA10" s="4">
        <v>0.71</v>
      </c>
    </row>
    <row r="11" spans="1:27" x14ac:dyDescent="0.35">
      <c r="A11" s="2">
        <v>43739</v>
      </c>
      <c r="B11">
        <v>133142.28</v>
      </c>
      <c r="C11">
        <v>5751.5</v>
      </c>
      <c r="D11">
        <v>0</v>
      </c>
      <c r="E11">
        <v>4236.17</v>
      </c>
      <c r="F11" s="1">
        <f t="shared" si="2"/>
        <v>143129.95000000001</v>
      </c>
      <c r="G11">
        <v>1630.9699999999998</v>
      </c>
      <c r="H11">
        <v>3741.69</v>
      </c>
      <c r="I11">
        <v>30.4</v>
      </c>
      <c r="J11">
        <v>2821.26</v>
      </c>
      <c r="K11">
        <v>25195.23</v>
      </c>
      <c r="L11">
        <v>7615.28</v>
      </c>
      <c r="M11">
        <v>9301.8100000000013</v>
      </c>
      <c r="N11">
        <v>3980.93</v>
      </c>
      <c r="O11">
        <v>6177.88</v>
      </c>
      <c r="P11">
        <v>76548.08</v>
      </c>
      <c r="Q11">
        <v>1224</v>
      </c>
      <c r="R11">
        <v>0</v>
      </c>
      <c r="S11">
        <v>0</v>
      </c>
      <c r="T11" s="1">
        <f t="shared" si="3"/>
        <v>138267.53</v>
      </c>
      <c r="U11">
        <f t="shared" si="4"/>
        <v>4862.4200000000128</v>
      </c>
      <c r="V11">
        <f t="shared" si="5"/>
        <v>96124.81</v>
      </c>
      <c r="W11">
        <v>179922</v>
      </c>
      <c r="X11" s="4">
        <f t="shared" si="6"/>
        <v>0.53425823412367579</v>
      </c>
      <c r="Y11" s="4">
        <f t="shared" si="0"/>
        <v>1.7393287983186514</v>
      </c>
      <c r="Z11" s="4">
        <f t="shared" si="1"/>
        <v>3.3972065245603818E-2</v>
      </c>
      <c r="AA11" s="4">
        <v>0.74</v>
      </c>
    </row>
    <row r="12" spans="1:27" x14ac:dyDescent="0.35">
      <c r="A12" s="2">
        <v>43770</v>
      </c>
      <c r="B12">
        <v>156231.70000000001</v>
      </c>
      <c r="C12">
        <v>800</v>
      </c>
      <c r="D12">
        <v>0</v>
      </c>
      <c r="E12">
        <v>16356.98</v>
      </c>
      <c r="F12" s="1">
        <f t="shared" si="2"/>
        <v>173388.68000000002</v>
      </c>
      <c r="G12">
        <v>3406.52</v>
      </c>
      <c r="H12">
        <v>4609.79</v>
      </c>
      <c r="I12">
        <v>0</v>
      </c>
      <c r="J12">
        <v>3028.93</v>
      </c>
      <c r="K12">
        <v>45802.09</v>
      </c>
      <c r="L12">
        <v>351.54999999999995</v>
      </c>
      <c r="M12">
        <v>9309.39</v>
      </c>
      <c r="N12">
        <v>3924.53</v>
      </c>
      <c r="O12">
        <v>4378.43</v>
      </c>
      <c r="P12">
        <v>74599.34</v>
      </c>
      <c r="Q12">
        <v>1504</v>
      </c>
      <c r="R12">
        <v>0</v>
      </c>
      <c r="S12">
        <v>1309.43</v>
      </c>
      <c r="T12" s="1">
        <f t="shared" si="3"/>
        <v>152223.99999999997</v>
      </c>
      <c r="U12">
        <f t="shared" si="4"/>
        <v>21164.680000000051</v>
      </c>
      <c r="V12">
        <f t="shared" si="5"/>
        <v>96760.969999999987</v>
      </c>
      <c r="W12">
        <v>207245</v>
      </c>
      <c r="X12" s="4">
        <f t="shared" si="6"/>
        <v>0.46689169823156162</v>
      </c>
      <c r="Y12" s="4">
        <f t="shared" si="0"/>
        <v>2.0942772415948991</v>
      </c>
      <c r="Z12" s="4">
        <f t="shared" si="1"/>
        <v>0.12206494680044884</v>
      </c>
      <c r="AA12" s="4">
        <v>0.75385027383049052</v>
      </c>
    </row>
    <row r="13" spans="1:27" x14ac:dyDescent="0.35">
      <c r="A13" s="2">
        <v>43800</v>
      </c>
      <c r="B13">
        <v>172834.64</v>
      </c>
      <c r="C13">
        <v>0</v>
      </c>
      <c r="D13">
        <v>0</v>
      </c>
      <c r="E13">
        <v>121467.70999999999</v>
      </c>
      <c r="F13" s="1">
        <f t="shared" si="2"/>
        <v>294302.34999999998</v>
      </c>
      <c r="G13">
        <v>1041.48</v>
      </c>
      <c r="H13">
        <v>6133.57</v>
      </c>
      <c r="I13">
        <v>2742.25</v>
      </c>
      <c r="J13">
        <v>6876.68</v>
      </c>
      <c r="K13">
        <v>45802.09</v>
      </c>
      <c r="L13">
        <v>14053.019999999999</v>
      </c>
      <c r="M13">
        <v>1792.75</v>
      </c>
      <c r="N13">
        <v>3928</v>
      </c>
      <c r="O13">
        <v>2270.25</v>
      </c>
      <c r="P13">
        <v>68403.079999999987</v>
      </c>
      <c r="Q13">
        <v>1252</v>
      </c>
      <c r="R13">
        <v>44</v>
      </c>
      <c r="S13">
        <v>218.49</v>
      </c>
      <c r="T13" s="1">
        <f t="shared" si="3"/>
        <v>154557.65999999997</v>
      </c>
      <c r="U13">
        <f t="shared" si="4"/>
        <v>139744.69</v>
      </c>
      <c r="V13">
        <f t="shared" si="5"/>
        <v>90167.549999999988</v>
      </c>
      <c r="W13">
        <v>227414</v>
      </c>
      <c r="X13" s="4">
        <f t="shared" si="6"/>
        <v>0.3964907613427493</v>
      </c>
      <c r="Y13" s="4">
        <f t="shared" si="0"/>
        <v>2.5267084464617682</v>
      </c>
      <c r="Z13" s="4">
        <f t="shared" si="1"/>
        <v>0.47483375515010334</v>
      </c>
      <c r="AA13" s="4">
        <v>0.76</v>
      </c>
    </row>
    <row r="14" spans="1:27" x14ac:dyDescent="0.35">
      <c r="A14" s="2">
        <v>43831</v>
      </c>
      <c r="B14">
        <v>178710</v>
      </c>
      <c r="C14">
        <v>9388</v>
      </c>
      <c r="D14">
        <v>0</v>
      </c>
      <c r="E14">
        <v>117079.12999999999</v>
      </c>
      <c r="F14" s="1">
        <f t="shared" si="2"/>
        <v>305177.13</v>
      </c>
      <c r="G14">
        <v>3617.92</v>
      </c>
      <c r="H14">
        <v>6764.92</v>
      </c>
      <c r="I14">
        <v>0</v>
      </c>
      <c r="J14">
        <v>7791.1100000000006</v>
      </c>
      <c r="K14">
        <v>45802.09</v>
      </c>
      <c r="L14">
        <v>10932.369999999999</v>
      </c>
      <c r="M14">
        <v>6534.6900000000005</v>
      </c>
      <c r="N14">
        <v>5186.34</v>
      </c>
      <c r="O14">
        <v>4801.4600000000009</v>
      </c>
      <c r="P14">
        <v>101707.67</v>
      </c>
      <c r="Q14">
        <v>1876</v>
      </c>
      <c r="R14">
        <v>0</v>
      </c>
      <c r="S14">
        <v>1058.97</v>
      </c>
      <c r="T14" s="1">
        <f t="shared" si="3"/>
        <v>196073.54</v>
      </c>
      <c r="U14">
        <f t="shared" si="4"/>
        <v>109103.59</v>
      </c>
      <c r="V14">
        <f t="shared" si="5"/>
        <v>132804.38999999998</v>
      </c>
      <c r="W14">
        <v>235146</v>
      </c>
      <c r="X14" s="4">
        <f t="shared" si="6"/>
        <v>0.56477418284810277</v>
      </c>
      <c r="Y14" s="4">
        <f t="shared" si="0"/>
        <v>1.7570946222639847</v>
      </c>
      <c r="Z14" s="4">
        <f t="shared" si="1"/>
        <v>0.35750906367066232</v>
      </c>
      <c r="AA14" s="4">
        <v>0.75999591743002215</v>
      </c>
    </row>
    <row r="15" spans="1:27" x14ac:dyDescent="0.35">
      <c r="A15" s="2">
        <v>43862</v>
      </c>
      <c r="B15">
        <v>173751.2</v>
      </c>
      <c r="C15">
        <v>1564</v>
      </c>
      <c r="D15">
        <v>0</v>
      </c>
      <c r="E15">
        <v>0</v>
      </c>
      <c r="F15" s="1">
        <f t="shared" si="2"/>
        <v>175315.20000000001</v>
      </c>
      <c r="G15">
        <v>2022.1799999999998</v>
      </c>
      <c r="H15">
        <v>5723.89</v>
      </c>
      <c r="I15">
        <v>208.5</v>
      </c>
      <c r="J15">
        <v>8333.01</v>
      </c>
      <c r="K15">
        <v>34297.08</v>
      </c>
      <c r="L15">
        <v>882.27</v>
      </c>
      <c r="M15">
        <v>20224.54</v>
      </c>
      <c r="N15">
        <v>10251.34</v>
      </c>
      <c r="O15">
        <v>5414.31</v>
      </c>
      <c r="P15">
        <v>97384.71</v>
      </c>
      <c r="Q15">
        <v>1560</v>
      </c>
      <c r="R15">
        <v>0</v>
      </c>
      <c r="S15">
        <v>0</v>
      </c>
      <c r="T15" s="1">
        <f t="shared" si="3"/>
        <v>186301.83000000002</v>
      </c>
      <c r="U15">
        <f t="shared" si="4"/>
        <v>-10986.630000000005</v>
      </c>
      <c r="V15">
        <f t="shared" si="5"/>
        <v>130689.44</v>
      </c>
      <c r="W15">
        <v>228620</v>
      </c>
      <c r="X15" s="4">
        <f t="shared" si="6"/>
        <v>0.57164482547458662</v>
      </c>
      <c r="Y15" s="4">
        <f t="shared" si="0"/>
        <v>1.7841733060559506</v>
      </c>
      <c r="Z15" s="4">
        <f t="shared" si="1"/>
        <v>-6.2667869072390775E-2</v>
      </c>
      <c r="AA15" s="4">
        <v>0.76</v>
      </c>
    </row>
    <row r="16" spans="1:27" x14ac:dyDescent="0.35">
      <c r="A16" s="2">
        <v>43891</v>
      </c>
      <c r="B16">
        <v>199994</v>
      </c>
      <c r="C16">
        <v>7770</v>
      </c>
      <c r="D16">
        <v>0</v>
      </c>
      <c r="E16">
        <v>4057.62</v>
      </c>
      <c r="F16" s="1">
        <f t="shared" si="2"/>
        <v>211821.62</v>
      </c>
      <c r="G16">
        <v>2711.35</v>
      </c>
      <c r="H16">
        <v>5576.76</v>
      </c>
      <c r="I16">
        <v>419.15000000000003</v>
      </c>
      <c r="J16">
        <v>9246.4499999999989</v>
      </c>
      <c r="K16">
        <v>11505</v>
      </c>
      <c r="L16">
        <v>6283.4</v>
      </c>
      <c r="M16">
        <v>1817</v>
      </c>
      <c r="N16">
        <v>4740.66</v>
      </c>
      <c r="O16">
        <v>6423.5599999999995</v>
      </c>
      <c r="P16">
        <v>105190.55000000002</v>
      </c>
      <c r="Q16">
        <v>1936</v>
      </c>
      <c r="R16">
        <v>74</v>
      </c>
      <c r="S16">
        <v>290</v>
      </c>
      <c r="T16" s="1">
        <f t="shared" si="3"/>
        <v>156213.88</v>
      </c>
      <c r="U16">
        <f t="shared" si="4"/>
        <v>55607.739999999991</v>
      </c>
      <c r="V16">
        <f t="shared" si="5"/>
        <v>136189.33000000002</v>
      </c>
      <c r="W16">
        <v>263150</v>
      </c>
      <c r="X16" s="4">
        <f t="shared" si="6"/>
        <v>0.51753498004940157</v>
      </c>
      <c r="Y16" s="4">
        <f t="shared" si="0"/>
        <v>1.9012544377798193</v>
      </c>
      <c r="Z16" s="4">
        <f t="shared" si="1"/>
        <v>0.26252154997209443</v>
      </c>
      <c r="AA16" s="4">
        <v>0.76</v>
      </c>
    </row>
    <row r="17" spans="1:27" x14ac:dyDescent="0.35">
      <c r="A17" s="2">
        <v>43922</v>
      </c>
      <c r="B17">
        <v>191940.5</v>
      </c>
      <c r="C17">
        <v>0</v>
      </c>
      <c r="D17">
        <v>0</v>
      </c>
      <c r="E17">
        <v>77507.38</v>
      </c>
      <c r="F17" s="1">
        <f t="shared" si="2"/>
        <v>269447.88</v>
      </c>
      <c r="G17">
        <v>8591.07</v>
      </c>
      <c r="H17">
        <v>5203.72</v>
      </c>
      <c r="I17">
        <v>3376.78</v>
      </c>
      <c r="J17">
        <v>8914.81</v>
      </c>
      <c r="K17">
        <v>45802.17</v>
      </c>
      <c r="L17">
        <v>11033.79</v>
      </c>
      <c r="M17">
        <v>1825.15</v>
      </c>
      <c r="N17">
        <v>6940.99</v>
      </c>
      <c r="O17">
        <v>4470.6299999999992</v>
      </c>
      <c r="P17">
        <v>102629.69</v>
      </c>
      <c r="Q17">
        <v>2410</v>
      </c>
      <c r="R17">
        <v>337.5</v>
      </c>
      <c r="S17">
        <v>0</v>
      </c>
      <c r="T17" s="1">
        <f t="shared" si="3"/>
        <v>201536.3</v>
      </c>
      <c r="U17">
        <f t="shared" si="4"/>
        <v>67911.580000000016</v>
      </c>
      <c r="V17">
        <f t="shared" si="5"/>
        <v>139498.41</v>
      </c>
      <c r="W17">
        <v>262934</v>
      </c>
      <c r="X17" s="4">
        <f t="shared" si="6"/>
        <v>0.53054534598036007</v>
      </c>
      <c r="Y17" s="4">
        <f t="shared" si="0"/>
        <v>1.8702239088903025</v>
      </c>
      <c r="Z17" s="4">
        <f t="shared" si="1"/>
        <v>0.25203976368268333</v>
      </c>
      <c r="AA17" s="4">
        <v>0.72999497972875327</v>
      </c>
    </row>
    <row r="18" spans="1:27" x14ac:dyDescent="0.35">
      <c r="A18" s="2">
        <v>43952</v>
      </c>
      <c r="B18">
        <v>195494.1</v>
      </c>
      <c r="C18">
        <v>0</v>
      </c>
      <c r="D18">
        <v>0</v>
      </c>
      <c r="E18">
        <v>0</v>
      </c>
      <c r="F18" s="1">
        <f t="shared" si="2"/>
        <v>195494.1</v>
      </c>
      <c r="G18">
        <v>1445.7099999999998</v>
      </c>
      <c r="H18">
        <v>4960.53</v>
      </c>
      <c r="I18">
        <v>986.64999999999986</v>
      </c>
      <c r="J18">
        <v>8828.92</v>
      </c>
      <c r="K18">
        <v>22463.23</v>
      </c>
      <c r="L18">
        <v>989.05</v>
      </c>
      <c r="M18">
        <v>1833.3500000000001</v>
      </c>
      <c r="N18">
        <v>3943.42</v>
      </c>
      <c r="O18">
        <v>4368.45</v>
      </c>
      <c r="P18">
        <v>112568.54999999999</v>
      </c>
      <c r="Q18">
        <v>1210.52</v>
      </c>
      <c r="R18">
        <v>88.8</v>
      </c>
      <c r="S18">
        <v>0</v>
      </c>
      <c r="T18" s="1">
        <f t="shared" si="3"/>
        <v>163687.17999999996</v>
      </c>
      <c r="U18">
        <f t="shared" si="4"/>
        <v>31806.920000000042</v>
      </c>
      <c r="V18">
        <f t="shared" si="5"/>
        <v>137414.89999999997</v>
      </c>
      <c r="W18">
        <v>277467</v>
      </c>
      <c r="X18" s="4">
        <f t="shared" si="6"/>
        <v>0.49524772315266308</v>
      </c>
      <c r="Y18" s="4">
        <f t="shared" si="0"/>
        <v>1.7366671241656753</v>
      </c>
      <c r="Z18" s="4">
        <f t="shared" si="1"/>
        <v>0.16270015309924976</v>
      </c>
      <c r="AA18" s="4">
        <v>0.70456702959270834</v>
      </c>
    </row>
    <row r="19" spans="1:27" x14ac:dyDescent="0.35">
      <c r="A19" s="2">
        <v>43983</v>
      </c>
      <c r="B19">
        <v>182240.64000000001</v>
      </c>
      <c r="C19">
        <v>2759.5</v>
      </c>
      <c r="D19">
        <v>1956</v>
      </c>
      <c r="E19">
        <v>27349.89</v>
      </c>
      <c r="F19" s="1">
        <f t="shared" si="2"/>
        <v>214306.03000000003</v>
      </c>
      <c r="G19">
        <v>4325.13</v>
      </c>
      <c r="H19">
        <v>4776.49</v>
      </c>
      <c r="I19">
        <v>205.87</v>
      </c>
      <c r="J19">
        <v>8833.2999999999993</v>
      </c>
      <c r="K19">
        <v>22463.22</v>
      </c>
      <c r="L19">
        <v>5160.41</v>
      </c>
      <c r="M19">
        <v>1841.1699999999998</v>
      </c>
      <c r="N19">
        <v>3554.24</v>
      </c>
      <c r="O19">
        <v>4691.4400000000005</v>
      </c>
      <c r="P19">
        <v>110277.73</v>
      </c>
      <c r="Q19">
        <v>1132.48</v>
      </c>
      <c r="R19">
        <v>0</v>
      </c>
      <c r="S19">
        <v>746.17000000000007</v>
      </c>
      <c r="T19" s="1">
        <f t="shared" si="3"/>
        <v>168007.65000000002</v>
      </c>
      <c r="U19">
        <f t="shared" si="4"/>
        <v>46298.380000000005</v>
      </c>
      <c r="V19">
        <f t="shared" si="5"/>
        <v>138336.98000000001</v>
      </c>
      <c r="W19">
        <v>253112</v>
      </c>
      <c r="X19" s="4">
        <f t="shared" si="6"/>
        <v>0.54654453364518474</v>
      </c>
      <c r="Y19" s="4">
        <f t="shared" si="0"/>
        <v>1.6525606756686053</v>
      </c>
      <c r="Z19" s="4">
        <f t="shared" si="1"/>
        <v>0.21603862476478147</v>
      </c>
      <c r="AA19" s="4">
        <v>0.72000000000000008</v>
      </c>
    </row>
    <row r="20" spans="1:27" x14ac:dyDescent="0.35">
      <c r="A20" s="2">
        <v>44013</v>
      </c>
      <c r="B20">
        <v>192001.68</v>
      </c>
      <c r="C20">
        <v>0</v>
      </c>
      <c r="D20">
        <v>0</v>
      </c>
      <c r="E20">
        <v>0</v>
      </c>
      <c r="F20" s="1">
        <f t="shared" si="2"/>
        <v>192001.68</v>
      </c>
      <c r="G20">
        <v>2684.7200000000003</v>
      </c>
      <c r="H20">
        <v>5976.9</v>
      </c>
      <c r="I20">
        <v>799.94</v>
      </c>
      <c r="J20">
        <v>8837.67</v>
      </c>
      <c r="K20">
        <v>22463.23</v>
      </c>
      <c r="L20">
        <v>11120.2</v>
      </c>
      <c r="M20">
        <v>3949.4799999999996</v>
      </c>
      <c r="N20">
        <v>4004.41</v>
      </c>
      <c r="O20">
        <v>11637.07</v>
      </c>
      <c r="P20">
        <v>111715.26000000001</v>
      </c>
      <c r="Q20">
        <v>307</v>
      </c>
      <c r="R20">
        <v>26.25</v>
      </c>
      <c r="S20">
        <v>0</v>
      </c>
      <c r="T20" s="1">
        <f t="shared" si="3"/>
        <v>183522.13</v>
      </c>
      <c r="U20">
        <f t="shared" si="4"/>
        <v>8479.5499999999884</v>
      </c>
      <c r="V20">
        <f t="shared" si="5"/>
        <v>145189.28000000003</v>
      </c>
      <c r="W20">
        <v>269669</v>
      </c>
      <c r="X20" s="4">
        <f t="shared" si="6"/>
        <v>0.53839811027593099</v>
      </c>
      <c r="Y20" s="4">
        <f t="shared" si="0"/>
        <v>1.7186701261761372</v>
      </c>
      <c r="Z20" s="4">
        <f t="shared" si="1"/>
        <v>4.4163936482222388E-2</v>
      </c>
      <c r="AA20" s="4">
        <v>0.71199018055468</v>
      </c>
    </row>
    <row r="21" spans="1:27" x14ac:dyDescent="0.35">
      <c r="A21" s="2">
        <v>44044</v>
      </c>
      <c r="B21">
        <v>202282.56</v>
      </c>
      <c r="C21">
        <v>0</v>
      </c>
      <c r="D21">
        <v>0</v>
      </c>
      <c r="E21">
        <v>25000</v>
      </c>
      <c r="F21" s="1">
        <f t="shared" si="2"/>
        <v>227282.56</v>
      </c>
      <c r="G21">
        <v>2047.75</v>
      </c>
      <c r="H21">
        <v>6236.58</v>
      </c>
      <c r="I21">
        <v>170.92</v>
      </c>
      <c r="J21">
        <v>8558.5</v>
      </c>
      <c r="K21">
        <v>38614.620000000003</v>
      </c>
      <c r="L21">
        <v>679.18999999999994</v>
      </c>
      <c r="M21">
        <v>9247.39</v>
      </c>
      <c r="N21">
        <v>4758.1000000000004</v>
      </c>
      <c r="O21">
        <v>1736.79</v>
      </c>
      <c r="P21">
        <v>121174.45</v>
      </c>
      <c r="Q21">
        <v>326</v>
      </c>
      <c r="R21">
        <v>0</v>
      </c>
      <c r="S21">
        <v>720</v>
      </c>
      <c r="T21" s="1">
        <f t="shared" si="3"/>
        <v>194270.29</v>
      </c>
      <c r="U21">
        <f t="shared" si="4"/>
        <v>33012.26999999999</v>
      </c>
      <c r="V21">
        <f t="shared" si="5"/>
        <v>145558.16999999998</v>
      </c>
      <c r="W21">
        <v>280948</v>
      </c>
      <c r="X21" s="4">
        <f t="shared" si="6"/>
        <v>0.51809648048749224</v>
      </c>
      <c r="Y21" s="4">
        <f t="shared" si="0"/>
        <v>1.6693499330923309</v>
      </c>
      <c r="Z21" s="4">
        <f t="shared" si="1"/>
        <v>0.14524770400333395</v>
      </c>
      <c r="AA21" s="4">
        <v>0.72</v>
      </c>
    </row>
    <row r="22" spans="1:27" x14ac:dyDescent="0.35">
      <c r="A22" s="2">
        <v>44075</v>
      </c>
      <c r="B22">
        <v>184525.92</v>
      </c>
      <c r="C22">
        <v>0</v>
      </c>
      <c r="D22">
        <v>0</v>
      </c>
      <c r="E22">
        <v>10419.689999999999</v>
      </c>
      <c r="F22" s="1">
        <f t="shared" si="2"/>
        <v>194945.61000000002</v>
      </c>
      <c r="G22">
        <v>1221.3</v>
      </c>
      <c r="H22">
        <v>4458.3900000000003</v>
      </c>
      <c r="I22">
        <v>2561.5300000000002</v>
      </c>
      <c r="J22">
        <v>7262.09</v>
      </c>
      <c r="K22">
        <v>26665.760000000002</v>
      </c>
      <c r="L22">
        <v>5368.49</v>
      </c>
      <c r="M22">
        <v>9043.98</v>
      </c>
      <c r="N22">
        <v>3469.62</v>
      </c>
      <c r="O22">
        <v>3408.29</v>
      </c>
      <c r="P22">
        <v>125576.54999999999</v>
      </c>
      <c r="Q22">
        <v>992</v>
      </c>
      <c r="R22">
        <v>0</v>
      </c>
      <c r="S22">
        <v>759.84</v>
      </c>
      <c r="T22" s="1">
        <f t="shared" si="3"/>
        <v>190787.84</v>
      </c>
      <c r="U22">
        <f t="shared" si="4"/>
        <v>4157.7700000000186</v>
      </c>
      <c r="V22">
        <f t="shared" si="5"/>
        <v>147148.07999999999</v>
      </c>
      <c r="W22">
        <v>256286</v>
      </c>
      <c r="X22" s="4">
        <f t="shared" si="6"/>
        <v>0.57415574787542034</v>
      </c>
      <c r="Y22" s="4">
        <f t="shared" si="0"/>
        <v>1.4694297621649903</v>
      </c>
      <c r="Z22" s="4">
        <f t="shared" si="1"/>
        <v>2.1327846264401738E-2</v>
      </c>
      <c r="AA22" s="4">
        <v>0.72000000000000008</v>
      </c>
    </row>
    <row r="23" spans="1:27" x14ac:dyDescent="0.35">
      <c r="A23" s="2">
        <v>44105</v>
      </c>
      <c r="B23">
        <v>180128.59</v>
      </c>
      <c r="C23">
        <v>0</v>
      </c>
      <c r="D23">
        <v>0</v>
      </c>
      <c r="E23">
        <v>9000</v>
      </c>
      <c r="F23" s="1">
        <f t="shared" si="2"/>
        <v>189128.59</v>
      </c>
      <c r="G23">
        <v>4226.18</v>
      </c>
      <c r="H23">
        <v>4994.34</v>
      </c>
      <c r="I23">
        <v>2622.8500000000004</v>
      </c>
      <c r="J23">
        <v>8837.66</v>
      </c>
      <c r="K23">
        <v>27760.7</v>
      </c>
      <c r="L23">
        <v>4333.57</v>
      </c>
      <c r="M23">
        <v>9054.8700000000008</v>
      </c>
      <c r="N23">
        <v>4387.16</v>
      </c>
      <c r="O23">
        <v>2752.19</v>
      </c>
      <c r="P23">
        <v>122604.68000000001</v>
      </c>
      <c r="Q23">
        <v>1174</v>
      </c>
      <c r="R23">
        <v>0</v>
      </c>
      <c r="S23">
        <v>0</v>
      </c>
      <c r="T23" s="1">
        <f t="shared" si="3"/>
        <v>192748.2</v>
      </c>
      <c r="U23">
        <f t="shared" si="4"/>
        <v>-3619.6100000000151</v>
      </c>
      <c r="V23">
        <f t="shared" si="5"/>
        <v>148976.21000000002</v>
      </c>
      <c r="W23">
        <v>246557</v>
      </c>
      <c r="X23" s="4">
        <f t="shared" si="6"/>
        <v>0.60422624383002721</v>
      </c>
      <c r="Y23" s="4">
        <f t="shared" si="0"/>
        <v>1.4691820083866292</v>
      </c>
      <c r="Z23" s="4">
        <f t="shared" si="1"/>
        <v>-1.9138354492041713E-2</v>
      </c>
      <c r="AA23" s="4">
        <v>0.73057585061466512</v>
      </c>
    </row>
    <row r="24" spans="1:27" x14ac:dyDescent="0.35">
      <c r="A24" s="2">
        <v>44136</v>
      </c>
      <c r="B24">
        <v>160696</v>
      </c>
      <c r="C24">
        <v>21950</v>
      </c>
      <c r="D24">
        <v>1400</v>
      </c>
      <c r="E24">
        <v>24362.2</v>
      </c>
      <c r="F24" s="1">
        <f t="shared" si="2"/>
        <v>208408.2</v>
      </c>
      <c r="G24">
        <v>2407.4700000000003</v>
      </c>
      <c r="H24">
        <v>5386.1</v>
      </c>
      <c r="I24">
        <v>2967.8100000000004</v>
      </c>
      <c r="J24">
        <v>9746.25</v>
      </c>
      <c r="K24">
        <v>19523</v>
      </c>
      <c r="L24">
        <v>769.87</v>
      </c>
      <c r="M24">
        <v>9065.89</v>
      </c>
      <c r="N24">
        <v>4498.93</v>
      </c>
      <c r="O24">
        <v>4416.84</v>
      </c>
      <c r="P24">
        <v>117466.68000000001</v>
      </c>
      <c r="Q24">
        <v>6822.2</v>
      </c>
      <c r="R24">
        <v>340</v>
      </c>
      <c r="S24">
        <v>6920.13</v>
      </c>
      <c r="T24" s="1">
        <f t="shared" si="3"/>
        <v>190331.17000000004</v>
      </c>
      <c r="U24">
        <f t="shared" si="4"/>
        <v>18077.02999999997</v>
      </c>
      <c r="V24">
        <f t="shared" si="5"/>
        <v>158004.60000000003</v>
      </c>
      <c r="W24">
        <v>214262</v>
      </c>
      <c r="X24" s="4">
        <f t="shared" si="6"/>
        <v>0.73743640962933243</v>
      </c>
      <c r="Y24" s="4">
        <f t="shared" si="0"/>
        <v>1.3680134656057359</v>
      </c>
      <c r="Z24" s="4">
        <f t="shared" si="1"/>
        <v>8.673857362618155E-2</v>
      </c>
      <c r="AA24" s="4">
        <v>0.74999766640841592</v>
      </c>
    </row>
    <row r="25" spans="1:27" x14ac:dyDescent="0.35">
      <c r="A25" s="2">
        <v>44166</v>
      </c>
      <c r="B25">
        <v>157221</v>
      </c>
      <c r="C25">
        <v>3900</v>
      </c>
      <c r="D25">
        <v>0</v>
      </c>
      <c r="E25">
        <v>261816.16</v>
      </c>
      <c r="F25" s="1">
        <f t="shared" si="2"/>
        <v>422937.16000000003</v>
      </c>
      <c r="G25">
        <v>1771.1499999999999</v>
      </c>
      <c r="H25">
        <v>6030.4</v>
      </c>
      <c r="I25">
        <v>5206.4999999999991</v>
      </c>
      <c r="J25">
        <v>8842.0400000000009</v>
      </c>
      <c r="K25">
        <v>19523</v>
      </c>
      <c r="L25">
        <v>5331.1200000000008</v>
      </c>
      <c r="M25">
        <v>3994.3700000000003</v>
      </c>
      <c r="N25">
        <v>4630.7</v>
      </c>
      <c r="O25">
        <v>3677.91</v>
      </c>
      <c r="P25">
        <v>112756.64</v>
      </c>
      <c r="Q25">
        <v>2355.48</v>
      </c>
      <c r="R25">
        <v>2</v>
      </c>
      <c r="S25">
        <v>1758.32</v>
      </c>
      <c r="T25" s="1">
        <f t="shared" si="3"/>
        <v>175879.63000000003</v>
      </c>
      <c r="U25">
        <f t="shared" si="4"/>
        <v>247057.53</v>
      </c>
      <c r="V25">
        <f t="shared" si="5"/>
        <v>141824.64000000001</v>
      </c>
      <c r="W25">
        <v>209629</v>
      </c>
      <c r="X25" s="4">
        <f t="shared" si="6"/>
        <v>0.6765506680850456</v>
      </c>
      <c r="Y25" s="4">
        <f t="shared" si="0"/>
        <v>1.3943391715113185</v>
      </c>
      <c r="Z25" s="4">
        <f t="shared" si="1"/>
        <v>0.58414713429295262</v>
      </c>
      <c r="AA25" s="4">
        <v>0.74999642225073826</v>
      </c>
    </row>
    <row r="26" spans="1:27" x14ac:dyDescent="0.35">
      <c r="A26" s="2">
        <v>44197</v>
      </c>
      <c r="B26">
        <v>182567</v>
      </c>
      <c r="C26">
        <v>4860</v>
      </c>
      <c r="D26">
        <v>0</v>
      </c>
      <c r="E26">
        <v>3391.5</v>
      </c>
      <c r="F26" s="1">
        <f t="shared" si="2"/>
        <v>190818.5</v>
      </c>
      <c r="G26">
        <v>2706.12</v>
      </c>
      <c r="H26">
        <v>5940.77</v>
      </c>
      <c r="I26">
        <v>0</v>
      </c>
      <c r="J26">
        <v>9410.8100000000013</v>
      </c>
      <c r="K26">
        <v>4750</v>
      </c>
      <c r="L26">
        <v>1174.33</v>
      </c>
      <c r="M26">
        <v>2585.23</v>
      </c>
      <c r="N26">
        <v>7354.38</v>
      </c>
      <c r="O26">
        <v>2752.98</v>
      </c>
      <c r="P26">
        <v>101570.94</v>
      </c>
      <c r="Q26">
        <v>0</v>
      </c>
      <c r="R26">
        <v>586.5</v>
      </c>
      <c r="S26">
        <v>170</v>
      </c>
      <c r="T26" s="1">
        <f t="shared" si="3"/>
        <v>139002.06</v>
      </c>
      <c r="U26">
        <f t="shared" si="4"/>
        <v>51816.44</v>
      </c>
      <c r="V26">
        <f t="shared" si="5"/>
        <v>130492.5</v>
      </c>
      <c r="W26">
        <v>243423</v>
      </c>
      <c r="X26" s="4">
        <f t="shared" si="6"/>
        <v>0.53607300871322761</v>
      </c>
      <c r="Y26" s="4">
        <f t="shared" si="0"/>
        <v>1.7974333997499679</v>
      </c>
      <c r="Z26" s="4">
        <f t="shared" si="1"/>
        <v>0.27154830375461497</v>
      </c>
      <c r="AA26" s="4">
        <v>0.74999897298118912</v>
      </c>
    </row>
    <row r="27" spans="1:27" x14ac:dyDescent="0.35">
      <c r="A27" s="2">
        <v>44228</v>
      </c>
      <c r="B27">
        <v>186699.75</v>
      </c>
      <c r="C27">
        <v>0</v>
      </c>
      <c r="D27">
        <v>0</v>
      </c>
      <c r="E27">
        <v>6460</v>
      </c>
      <c r="F27" s="1">
        <f t="shared" si="2"/>
        <v>193159.75</v>
      </c>
      <c r="G27">
        <v>2323.75</v>
      </c>
      <c r="H27">
        <v>5290.04</v>
      </c>
      <c r="I27">
        <v>577.96</v>
      </c>
      <c r="J27">
        <v>9980.1200000000008</v>
      </c>
      <c r="K27">
        <v>19523</v>
      </c>
      <c r="L27">
        <v>3281.8999999999996</v>
      </c>
      <c r="M27">
        <v>2596.3199999999997</v>
      </c>
      <c r="N27">
        <v>8354.6299999999992</v>
      </c>
      <c r="O27">
        <v>4548.46</v>
      </c>
      <c r="P27">
        <v>116815</v>
      </c>
      <c r="Q27">
        <v>0</v>
      </c>
      <c r="R27">
        <v>0</v>
      </c>
      <c r="S27">
        <v>388.49</v>
      </c>
      <c r="T27" s="1">
        <f t="shared" si="3"/>
        <v>173679.66999999998</v>
      </c>
      <c r="U27">
        <f t="shared" si="4"/>
        <v>19480.080000000016</v>
      </c>
      <c r="V27">
        <f t="shared" si="5"/>
        <v>147700.49</v>
      </c>
      <c r="W27">
        <v>248933</v>
      </c>
      <c r="X27" s="4">
        <f t="shared" si="6"/>
        <v>0.5933343108386594</v>
      </c>
      <c r="Y27" s="4">
        <f t="shared" si="0"/>
        <v>1.5982515087959595</v>
      </c>
      <c r="Z27" s="4">
        <f t="shared" si="1"/>
        <v>0.10084958175810445</v>
      </c>
      <c r="AA27" s="4">
        <v>0.75</v>
      </c>
    </row>
    <row r="28" spans="1:27" x14ac:dyDescent="0.35">
      <c r="A28" s="2">
        <v>44256</v>
      </c>
      <c r="B28">
        <v>211971.75</v>
      </c>
      <c r="C28">
        <v>0</v>
      </c>
      <c r="D28">
        <v>0</v>
      </c>
      <c r="E28">
        <v>4392.5200000000004</v>
      </c>
      <c r="F28" s="1">
        <f t="shared" si="2"/>
        <v>216364.27</v>
      </c>
      <c r="G28">
        <v>2130.94</v>
      </c>
      <c r="H28">
        <v>6089.05</v>
      </c>
      <c r="I28">
        <v>502.14</v>
      </c>
      <c r="J28">
        <v>9573.2099999999991</v>
      </c>
      <c r="K28">
        <v>18447.12</v>
      </c>
      <c r="L28">
        <v>1480.9299999999998</v>
      </c>
      <c r="M28">
        <v>2607.4500000000003</v>
      </c>
      <c r="N28">
        <v>8433.39</v>
      </c>
      <c r="O28">
        <v>6025.95</v>
      </c>
      <c r="P28">
        <v>148100.22</v>
      </c>
      <c r="Q28">
        <v>0</v>
      </c>
      <c r="R28">
        <v>0</v>
      </c>
      <c r="S28">
        <v>1040</v>
      </c>
      <c r="T28" s="1">
        <f t="shared" si="3"/>
        <v>204430.4</v>
      </c>
      <c r="U28">
        <f t="shared" si="4"/>
        <v>11933.869999999995</v>
      </c>
      <c r="V28">
        <f t="shared" si="5"/>
        <v>181392.76</v>
      </c>
      <c r="W28">
        <v>282629</v>
      </c>
      <c r="X28" s="4">
        <f t="shared" si="6"/>
        <v>0.64180519338072173</v>
      </c>
      <c r="Y28" s="4">
        <f t="shared" si="0"/>
        <v>1.4312723505744962</v>
      </c>
      <c r="Z28" s="4">
        <f t="shared" si="1"/>
        <v>5.5156380487406703E-2</v>
      </c>
      <c r="AA28" s="4">
        <v>0.75</v>
      </c>
    </row>
    <row r="29" spans="1:27" x14ac:dyDescent="0.35">
      <c r="A29" s="2">
        <v>44287</v>
      </c>
      <c r="B29">
        <v>201074.25</v>
      </c>
      <c r="C29">
        <v>0</v>
      </c>
      <c r="D29">
        <v>2000</v>
      </c>
      <c r="E29">
        <v>76229.03</v>
      </c>
      <c r="F29" s="1">
        <f t="shared" si="2"/>
        <v>279303.28000000003</v>
      </c>
      <c r="G29">
        <v>2745.56</v>
      </c>
      <c r="H29">
        <v>5549.91</v>
      </c>
      <c r="I29">
        <v>563.68000000000006</v>
      </c>
      <c r="J29">
        <v>8886.51</v>
      </c>
      <c r="K29">
        <v>20598.879999999997</v>
      </c>
      <c r="L29">
        <v>1932.8300000000002</v>
      </c>
      <c r="M29">
        <v>2618.62</v>
      </c>
      <c r="N29">
        <v>7362.47</v>
      </c>
      <c r="O29">
        <v>2885.8199999999997</v>
      </c>
      <c r="P29">
        <v>146156.89000000001</v>
      </c>
      <c r="Q29">
        <v>0</v>
      </c>
      <c r="R29">
        <v>0</v>
      </c>
      <c r="S29">
        <v>860</v>
      </c>
      <c r="T29" s="1">
        <f t="shared" si="3"/>
        <v>200161.17</v>
      </c>
      <c r="U29">
        <f t="shared" si="4"/>
        <v>79142.110000000015</v>
      </c>
      <c r="V29">
        <f t="shared" si="5"/>
        <v>174447.16</v>
      </c>
      <c r="W29">
        <v>268099</v>
      </c>
      <c r="X29" s="4">
        <f t="shared" si="6"/>
        <v>0.65068187497901897</v>
      </c>
      <c r="Y29" s="4">
        <f t="shared" si="0"/>
        <v>1.375742532562098</v>
      </c>
      <c r="Z29" s="4">
        <f t="shared" si="1"/>
        <v>0.28335546220581442</v>
      </c>
      <c r="AA29" s="4">
        <v>0.75</v>
      </c>
    </row>
    <row r="30" spans="1:27" x14ac:dyDescent="0.35">
      <c r="A30" s="2">
        <v>44317</v>
      </c>
      <c r="B30">
        <v>199754.25</v>
      </c>
      <c r="C30">
        <v>0</v>
      </c>
      <c r="D30">
        <v>2000</v>
      </c>
      <c r="E30">
        <v>0</v>
      </c>
      <c r="F30" s="1">
        <f t="shared" si="2"/>
        <v>201754.25</v>
      </c>
      <c r="G30">
        <v>623</v>
      </c>
      <c r="H30">
        <v>4858.05</v>
      </c>
      <c r="I30">
        <v>467.15000000000003</v>
      </c>
      <c r="J30">
        <v>9159.69</v>
      </c>
      <c r="K30">
        <v>0</v>
      </c>
      <c r="L30">
        <v>1237.99</v>
      </c>
      <c r="M30">
        <v>2629.86</v>
      </c>
      <c r="N30">
        <v>6602.56</v>
      </c>
      <c r="O30">
        <v>5392.12</v>
      </c>
      <c r="P30">
        <v>100629.16</v>
      </c>
      <c r="Q30">
        <v>0</v>
      </c>
      <c r="R30">
        <v>0</v>
      </c>
      <c r="S30">
        <v>260</v>
      </c>
      <c r="T30" s="1">
        <f t="shared" si="3"/>
        <v>131859.58000000002</v>
      </c>
      <c r="U30">
        <f t="shared" si="4"/>
        <v>69894.669999999984</v>
      </c>
      <c r="V30">
        <f t="shared" si="5"/>
        <v>127524.58</v>
      </c>
      <c r="W30">
        <v>266339</v>
      </c>
      <c r="X30" s="4">
        <f t="shared" si="6"/>
        <v>0.4788055072670544</v>
      </c>
      <c r="Y30" s="4">
        <f t="shared" si="0"/>
        <v>1.9850533384160216</v>
      </c>
      <c r="Z30" s="4">
        <f t="shared" si="1"/>
        <v>0.34643468477120054</v>
      </c>
      <c r="AA30" s="4">
        <v>0.75</v>
      </c>
    </row>
    <row r="31" spans="1:27" x14ac:dyDescent="0.35">
      <c r="A31" s="2">
        <v>44348</v>
      </c>
      <c r="B31">
        <v>175575</v>
      </c>
      <c r="C31">
        <v>0</v>
      </c>
      <c r="D31">
        <v>0</v>
      </c>
      <c r="E31">
        <v>1221.97</v>
      </c>
      <c r="F31" s="1">
        <f t="shared" si="2"/>
        <v>176796.97</v>
      </c>
      <c r="G31">
        <v>2933.1200000000003</v>
      </c>
      <c r="H31">
        <v>5931.81</v>
      </c>
      <c r="I31">
        <v>0</v>
      </c>
      <c r="J31">
        <v>8898.8799999999992</v>
      </c>
      <c r="K31">
        <v>0</v>
      </c>
      <c r="L31">
        <v>2399.83</v>
      </c>
      <c r="M31">
        <v>2277.85</v>
      </c>
      <c r="N31">
        <v>7521.05</v>
      </c>
      <c r="O31">
        <v>7078.6900000000005</v>
      </c>
      <c r="P31">
        <v>112743.9</v>
      </c>
      <c r="Q31">
        <v>0</v>
      </c>
      <c r="R31">
        <v>0</v>
      </c>
      <c r="S31">
        <v>0</v>
      </c>
      <c r="T31" s="1">
        <f t="shared" si="3"/>
        <v>149785.13</v>
      </c>
      <c r="U31">
        <f t="shared" si="4"/>
        <v>27011.839999999997</v>
      </c>
      <c r="V31">
        <f t="shared" si="5"/>
        <v>145107.44999999998</v>
      </c>
      <c r="W31">
        <v>234100</v>
      </c>
      <c r="X31" s="4">
        <f t="shared" si="6"/>
        <v>0.61985241349850484</v>
      </c>
      <c r="Y31" s="4">
        <f t="shared" si="0"/>
        <v>1.557290460947333</v>
      </c>
      <c r="Z31" s="4">
        <f t="shared" si="1"/>
        <v>0.15278451887495581</v>
      </c>
      <c r="AA31" s="4">
        <v>0.75</v>
      </c>
    </row>
    <row r="32" spans="1:27" x14ac:dyDescent="0.35">
      <c r="A32" s="2">
        <v>44378</v>
      </c>
      <c r="B32">
        <v>158392.04999999999</v>
      </c>
      <c r="C32">
        <v>0</v>
      </c>
      <c r="D32">
        <v>0</v>
      </c>
      <c r="E32">
        <v>0</v>
      </c>
      <c r="F32" s="1">
        <f t="shared" si="2"/>
        <v>158392.04999999999</v>
      </c>
      <c r="G32">
        <v>3887.2599999999998</v>
      </c>
      <c r="H32">
        <v>8440.98</v>
      </c>
      <c r="I32">
        <v>3157.3900000000003</v>
      </c>
      <c r="J32">
        <v>8584.06</v>
      </c>
      <c r="K32">
        <v>58569</v>
      </c>
      <c r="L32">
        <v>8673.27</v>
      </c>
      <c r="M32">
        <v>2652.46</v>
      </c>
      <c r="N32">
        <v>8087.36</v>
      </c>
      <c r="O32">
        <v>2863.45</v>
      </c>
      <c r="P32">
        <v>115077.9</v>
      </c>
      <c r="Q32">
        <v>0</v>
      </c>
      <c r="R32">
        <v>0</v>
      </c>
      <c r="S32">
        <v>223.44</v>
      </c>
      <c r="T32" s="1">
        <f t="shared" si="3"/>
        <v>220216.57</v>
      </c>
      <c r="U32">
        <f t="shared" si="4"/>
        <v>-61824.520000000019</v>
      </c>
      <c r="V32">
        <f t="shared" si="5"/>
        <v>147164.45000000001</v>
      </c>
      <c r="W32">
        <v>211190</v>
      </c>
      <c r="X32" s="4">
        <f t="shared" si="6"/>
        <v>0.69683436715753588</v>
      </c>
      <c r="Y32" s="4">
        <f t="shared" si="0"/>
        <v>1.3763898194179769</v>
      </c>
      <c r="Z32" s="4">
        <f t="shared" si="1"/>
        <v>-0.39032590335184136</v>
      </c>
      <c r="AA32" s="4">
        <v>0.74999786921729239</v>
      </c>
    </row>
    <row r="33" spans="1:27" x14ac:dyDescent="0.35">
      <c r="A33" s="2">
        <v>44409</v>
      </c>
      <c r="B33">
        <v>160425</v>
      </c>
      <c r="C33">
        <v>0</v>
      </c>
      <c r="D33">
        <v>0</v>
      </c>
      <c r="E33">
        <v>24978.73</v>
      </c>
      <c r="F33" s="1">
        <f t="shared" si="2"/>
        <v>185403.73</v>
      </c>
      <c r="G33">
        <v>6605.25</v>
      </c>
      <c r="H33">
        <v>7455.89</v>
      </c>
      <c r="I33">
        <v>971.38</v>
      </c>
      <c r="J33">
        <v>7093.26</v>
      </c>
      <c r="K33">
        <v>14824.41</v>
      </c>
      <c r="L33">
        <v>3283.6900000000005</v>
      </c>
      <c r="M33">
        <v>2297.5500000000002</v>
      </c>
      <c r="N33">
        <v>7911.72</v>
      </c>
      <c r="O33">
        <v>1657.2800000000002</v>
      </c>
      <c r="P33">
        <v>100484.44</v>
      </c>
      <c r="Q33">
        <v>0</v>
      </c>
      <c r="R33">
        <v>79.58</v>
      </c>
      <c r="S33">
        <v>7654.31</v>
      </c>
      <c r="T33" s="1">
        <f t="shared" si="3"/>
        <v>160318.75999999998</v>
      </c>
      <c r="U33">
        <f t="shared" si="4"/>
        <v>25084.97000000003</v>
      </c>
      <c r="V33">
        <f t="shared" si="5"/>
        <v>138941.72999999998</v>
      </c>
      <c r="W33">
        <v>213900</v>
      </c>
      <c r="X33" s="4">
        <f t="shared" si="6"/>
        <v>0.6495639551192145</v>
      </c>
      <c r="Y33" s="4">
        <f t="shared" si="0"/>
        <v>1.5965158386711416</v>
      </c>
      <c r="Z33" s="4">
        <f t="shared" si="1"/>
        <v>0.13529916577190776</v>
      </c>
      <c r="AA33" s="4">
        <v>0.75</v>
      </c>
    </row>
    <row r="34" spans="1:27" x14ac:dyDescent="0.35">
      <c r="A34" s="2">
        <v>44440</v>
      </c>
      <c r="B34">
        <v>166961</v>
      </c>
      <c r="C34">
        <v>12480</v>
      </c>
      <c r="D34">
        <v>0</v>
      </c>
      <c r="E34">
        <v>4322.2700000000004</v>
      </c>
      <c r="F34" s="1">
        <f t="shared" si="2"/>
        <v>183763.27</v>
      </c>
      <c r="G34">
        <v>3301.41</v>
      </c>
      <c r="H34">
        <v>7302.02</v>
      </c>
      <c r="I34">
        <v>0</v>
      </c>
      <c r="J34">
        <v>7093.26</v>
      </c>
      <c r="K34">
        <v>0</v>
      </c>
      <c r="L34">
        <v>112.01</v>
      </c>
      <c r="M34">
        <v>367.79</v>
      </c>
      <c r="N34">
        <v>8905.14</v>
      </c>
      <c r="O34">
        <v>4802.0599999999995</v>
      </c>
      <c r="P34">
        <v>91070.52</v>
      </c>
      <c r="Q34">
        <v>0</v>
      </c>
      <c r="R34">
        <v>0</v>
      </c>
      <c r="S34">
        <v>0</v>
      </c>
      <c r="T34" s="1">
        <f t="shared" si="3"/>
        <v>122954.21</v>
      </c>
      <c r="U34">
        <f t="shared" si="4"/>
        <v>60809.059999999983</v>
      </c>
      <c r="V34">
        <f t="shared" si="5"/>
        <v>122474.41</v>
      </c>
      <c r="W34">
        <v>210357</v>
      </c>
      <c r="X34" s="4">
        <f t="shared" si="6"/>
        <v>0.58222169930166334</v>
      </c>
      <c r="Y34" s="4">
        <f t="shared" si="0"/>
        <v>1.8333155449205736</v>
      </c>
      <c r="Z34" s="4">
        <f t="shared" si="1"/>
        <v>0.33090976232627983</v>
      </c>
      <c r="AA34" s="4">
        <v>0.79370308570667958</v>
      </c>
    </row>
    <row r="35" spans="1:27" x14ac:dyDescent="0.35">
      <c r="A35" s="2">
        <v>44470</v>
      </c>
      <c r="B35">
        <v>168163.29</v>
      </c>
      <c r="C35">
        <v>18650</v>
      </c>
      <c r="D35">
        <v>0</v>
      </c>
      <c r="E35">
        <v>0</v>
      </c>
      <c r="F35" s="1">
        <f t="shared" si="2"/>
        <v>186813.29</v>
      </c>
      <c r="G35">
        <v>5783.2199999999993</v>
      </c>
      <c r="H35">
        <v>10617.02</v>
      </c>
      <c r="I35">
        <v>226.64999999999998</v>
      </c>
      <c r="J35">
        <v>7840.93</v>
      </c>
      <c r="K35">
        <v>19471.5</v>
      </c>
      <c r="L35">
        <v>3462.67</v>
      </c>
      <c r="M35">
        <v>0</v>
      </c>
      <c r="N35">
        <v>7688.14</v>
      </c>
      <c r="O35">
        <v>3756.66</v>
      </c>
      <c r="P35">
        <v>82855.199999999997</v>
      </c>
      <c r="Q35">
        <v>0</v>
      </c>
      <c r="R35">
        <v>0</v>
      </c>
      <c r="S35">
        <v>186.2</v>
      </c>
      <c r="T35" s="1">
        <f t="shared" si="3"/>
        <v>141888.19</v>
      </c>
      <c r="U35">
        <f t="shared" si="4"/>
        <v>44925.100000000006</v>
      </c>
      <c r="V35">
        <f t="shared" si="5"/>
        <v>118727.37</v>
      </c>
      <c r="W35">
        <v>207609</v>
      </c>
      <c r="X35" s="4">
        <f t="shared" si="6"/>
        <v>0.5718796872967935</v>
      </c>
      <c r="Y35" s="4">
        <f t="shared" si="0"/>
        <v>2.0296045390029835</v>
      </c>
      <c r="Z35" s="4">
        <f t="shared" si="1"/>
        <v>0.24048128481651387</v>
      </c>
      <c r="AA35" s="4">
        <v>0.81</v>
      </c>
    </row>
    <row r="36" spans="1:27" x14ac:dyDescent="0.35">
      <c r="A36" s="2">
        <v>44501</v>
      </c>
      <c r="B36">
        <v>168955.35</v>
      </c>
      <c r="C36">
        <v>1334.67</v>
      </c>
      <c r="D36">
        <v>0</v>
      </c>
      <c r="E36">
        <v>28523.34</v>
      </c>
      <c r="F36" s="1">
        <f t="shared" si="2"/>
        <v>198813.36000000002</v>
      </c>
      <c r="G36">
        <v>4624.8900000000003</v>
      </c>
      <c r="H36">
        <v>11643.65</v>
      </c>
      <c r="I36">
        <v>0</v>
      </c>
      <c r="J36">
        <v>7874.13</v>
      </c>
      <c r="K36">
        <v>0</v>
      </c>
      <c r="L36">
        <v>112.5</v>
      </c>
      <c r="M36">
        <v>1049.74</v>
      </c>
      <c r="N36">
        <v>7049.05</v>
      </c>
      <c r="O36">
        <v>6033.96</v>
      </c>
      <c r="P36">
        <v>118442.7</v>
      </c>
      <c r="Q36">
        <v>0</v>
      </c>
      <c r="R36">
        <v>0</v>
      </c>
      <c r="S36">
        <v>0</v>
      </c>
      <c r="T36" s="1">
        <f t="shared" si="3"/>
        <v>156830.62</v>
      </c>
      <c r="U36">
        <f t="shared" si="4"/>
        <v>41982.74000000002</v>
      </c>
      <c r="V36">
        <f t="shared" si="5"/>
        <v>155668.38</v>
      </c>
      <c r="W36">
        <v>198771</v>
      </c>
      <c r="X36" s="4">
        <f t="shared" si="6"/>
        <v>0.78315438368776136</v>
      </c>
      <c r="Y36" s="4">
        <f t="shared" si="0"/>
        <v>1.4264733073460838</v>
      </c>
      <c r="Z36" s="4">
        <f t="shared" si="1"/>
        <v>0.21116659363334545</v>
      </c>
      <c r="AA36" s="4">
        <v>0.85</v>
      </c>
    </row>
    <row r="37" spans="1:27" x14ac:dyDescent="0.35">
      <c r="A37" s="2">
        <v>44531</v>
      </c>
      <c r="B37">
        <v>175692.45</v>
      </c>
      <c r="C37">
        <v>0</v>
      </c>
      <c r="D37">
        <v>0</v>
      </c>
      <c r="E37">
        <v>279358.28000000003</v>
      </c>
      <c r="F37" s="1">
        <f t="shared" si="2"/>
        <v>455050.73000000004</v>
      </c>
      <c r="G37">
        <v>5110.71</v>
      </c>
      <c r="H37">
        <v>13688.63</v>
      </c>
      <c r="I37">
        <v>5419.869999999999</v>
      </c>
      <c r="J37">
        <v>8068.1900000000005</v>
      </c>
      <c r="K37">
        <v>63315</v>
      </c>
      <c r="L37">
        <v>6391.420000000001</v>
      </c>
      <c r="M37">
        <v>713.5</v>
      </c>
      <c r="N37">
        <v>6996.62</v>
      </c>
      <c r="O37" s="3">
        <v>1958.08</v>
      </c>
      <c r="P37">
        <v>128525.7</v>
      </c>
      <c r="Q37">
        <v>0</v>
      </c>
      <c r="R37">
        <v>0</v>
      </c>
      <c r="S37">
        <v>0</v>
      </c>
      <c r="T37" s="1">
        <f t="shared" si="3"/>
        <v>240187.71999999997</v>
      </c>
      <c r="U37">
        <f t="shared" si="4"/>
        <v>214863.01000000007</v>
      </c>
      <c r="V37">
        <f t="shared" si="5"/>
        <v>164347.93</v>
      </c>
      <c r="W37">
        <v>206697</v>
      </c>
      <c r="X37" s="4">
        <f t="shared" si="6"/>
        <v>0.79511521696009135</v>
      </c>
      <c r="Y37" s="4">
        <f t="shared" si="0"/>
        <v>1.3669830236287375</v>
      </c>
      <c r="Z37" s="4">
        <f t="shared" si="1"/>
        <v>0.47217375082553992</v>
      </c>
      <c r="AA37" s="4">
        <v>0.85000000000000009</v>
      </c>
    </row>
    <row r="41" spans="1:27" x14ac:dyDescent="0.35">
      <c r="A41" s="8" t="s">
        <v>59</v>
      </c>
      <c r="B41">
        <f>COUNT(Таблица13[Приход мляко])</f>
        <v>36</v>
      </c>
      <c r="C41">
        <f>COUNT(Таблица13[Приход животни])</f>
        <v>36</v>
      </c>
      <c r="D41">
        <f>COUNT(Таблица13[Приходи телета])</f>
        <v>36</v>
      </c>
      <c r="E41">
        <f>COUNT(Таблица13[Субсидия])</f>
        <v>36</v>
      </c>
      <c r="F41">
        <f>COUNT(Таблица13[Общи приходи])</f>
        <v>36</v>
      </c>
      <c r="G41">
        <f>COUNT(Таблица13[Разходи лекарства])</f>
        <v>36</v>
      </c>
      <c r="H41">
        <f>COUNT(Таблица13[Ел енергия])</f>
        <v>36</v>
      </c>
      <c r="I41">
        <f>COUNT(Таблица13[Застраховни])</f>
        <v>36</v>
      </c>
      <c r="J41">
        <f>COUNT(Таблица13[Заплати + осигуровки])</f>
        <v>36</v>
      </c>
      <c r="K41">
        <f>COUNT(Таблица13[Кредити])</f>
        <v>36</v>
      </c>
      <c r="L41">
        <f>COUNT(Таблица13[Лихви кредити])</f>
        <v>36</v>
      </c>
      <c r="M41">
        <f>COUNT(Таблица13[Лизингови договори])</f>
        <v>36</v>
      </c>
      <c r="N41">
        <f>COUNT(Таблица13[Гориво])</f>
        <v>36</v>
      </c>
      <c r="O41">
        <f>COUNT(Таблица13[Ремонт])</f>
        <v>36</v>
      </c>
      <c r="P41">
        <f>COUNT(Таблица13[Фуражи])</f>
        <v>36</v>
      </c>
      <c r="Q41">
        <f>COUNT(Таблица13[Семенна течност])</f>
        <v>36</v>
      </c>
      <c r="R41">
        <f>COUNT(Таблица13[Ушни марки])</f>
        <v>36</v>
      </c>
      <c r="S41">
        <f>COUNT(Таблица13[Други])</f>
        <v>36</v>
      </c>
      <c r="T41">
        <f>COUNT(Таблица13[Общи разходи])</f>
        <v>36</v>
      </c>
      <c r="U41">
        <f>COUNT(Таблица13[Печалба на месец])</f>
        <v>36</v>
      </c>
      <c r="V41">
        <f>COUNT(Таблица13[Производствени разходи])</f>
        <v>36</v>
      </c>
      <c r="W41">
        <f>COUNT(Таблица13[Литри])</f>
        <v>36</v>
      </c>
      <c r="X41">
        <f>COUNT(Таблица13[Произ. разходи/литър])</f>
        <v>36</v>
      </c>
      <c r="Y41">
        <f>COUNT(Таблица13[Мляко/Фураж])</f>
        <v>36</v>
      </c>
    </row>
    <row r="42" spans="1:27" x14ac:dyDescent="0.35">
      <c r="A42" s="8" t="s">
        <v>60</v>
      </c>
      <c r="B42">
        <f>SKEW(Таблица13[Приход мляко])</f>
        <v>-1.0609210490936751</v>
      </c>
      <c r="C42">
        <f>SKEW(Таблица13[Приход животни])</f>
        <v>2.1390181125752865</v>
      </c>
      <c r="D42">
        <f>SKEW(Таблица13[Приходи телета])</f>
        <v>2.6761713231848665</v>
      </c>
      <c r="E42">
        <f>SKEW(Таблица13[Субсидия])</f>
        <v>2.7641005707128343</v>
      </c>
      <c r="F42">
        <f>SKEW(Таблица13[Общи приходи])</f>
        <v>1.6435872716499427</v>
      </c>
      <c r="G42">
        <f>SKEW(Таблица13[Разходи лекарства])</f>
        <v>1.3269691689290906</v>
      </c>
      <c r="H42">
        <f>SKEW(Таблица13[Ел енергия])</f>
        <v>2.0064635269601343</v>
      </c>
      <c r="I42">
        <f>SKEW(Таблица13[Застраховни])</f>
        <v>1.515104315386949</v>
      </c>
      <c r="J42">
        <f>SKEW(Таблица13[Заплати + осигуровки])</f>
        <v>-0.68040944797548619</v>
      </c>
      <c r="K42">
        <f>SKEW(Таблица13[Кредити])</f>
        <v>0.56632006127228518</v>
      </c>
      <c r="L42">
        <f>SKEW(Таблица13[Лихви кредити])</f>
        <v>0.36469648933679288</v>
      </c>
      <c r="M42">
        <f>SKEW(Таблица13[Лизингови договори])</f>
        <v>2.8679687866012817</v>
      </c>
      <c r="N42">
        <f>SKEW(Таблица13[Гориво])</f>
        <v>0.69630953499887738</v>
      </c>
      <c r="O42">
        <f>SKEW(Таблица13[Ремонт])</f>
        <v>1.3259464352541146</v>
      </c>
      <c r="P42">
        <f>SKEW(Таблица13[Фуражи])</f>
        <v>-0.11134873916925504</v>
      </c>
      <c r="Q42">
        <f>SKEW(Таблица13[Семенна течност])</f>
        <v>3.0648774910247703</v>
      </c>
      <c r="R42">
        <f>SKEW(Таблица13[Ушни марки])</f>
        <v>2.9504265138490102</v>
      </c>
      <c r="S42">
        <f>SKEW(Таблица13[Други])</f>
        <v>3.5988190831452345</v>
      </c>
      <c r="T42">
        <f>SKEW(Таблица13[Общи разходи])</f>
        <v>0.17109161962718228</v>
      </c>
      <c r="U42">
        <f>SKEW(Таблица13[Печалба на месец])</f>
        <v>1.6923033811221382</v>
      </c>
      <c r="V42">
        <f>SKEW(Таблица13[Производствени разходи])</f>
        <v>-0.34297748639458886</v>
      </c>
      <c r="W42">
        <f>SKEW(Таблица13[Литри])</f>
        <v>-0.80922676630104373</v>
      </c>
      <c r="X42">
        <f>SKEW(Таблица13[Произ. разходи/литър])</f>
        <v>0.24010461822140095</v>
      </c>
      <c r="Y42">
        <f>SKEW(Таблица13[Мляко/Фураж])</f>
        <v>0.56736986310106774</v>
      </c>
    </row>
    <row r="43" spans="1:27" x14ac:dyDescent="0.35">
      <c r="A43" s="8" t="s">
        <v>61</v>
      </c>
      <c r="B43">
        <f>KURT(Таблица13[Приход мляко])</f>
        <v>1.1290510264818883</v>
      </c>
      <c r="C43">
        <f>KURT(Таблица13[Приход животни])</f>
        <v>4.0096333520353324</v>
      </c>
      <c r="D43">
        <f>KURT(Таблица13[Приходи телета])</f>
        <v>5.6225686816316944</v>
      </c>
      <c r="E43">
        <f>KURT(Таблица13[Субсидия])</f>
        <v>7.6514848933798838</v>
      </c>
      <c r="F43">
        <f>KURT(Таблица13[Общи приходи])</f>
        <v>3.9452250750322397</v>
      </c>
      <c r="G43">
        <f>KURT(Таблица13[Разходи лекарства])</f>
        <v>1.9492319769941551</v>
      </c>
      <c r="H43">
        <f>KURT(Таблица13[Ел енергия])</f>
        <v>4.4657161083830559</v>
      </c>
      <c r="I43">
        <f>KURT(Таблица13[Застраховни])</f>
        <v>1.2925551016472188</v>
      </c>
      <c r="J43">
        <f>KURT(Таблица13[Заплати + осигуровки])</f>
        <v>-1.2172783999712111</v>
      </c>
      <c r="K43">
        <f>KURT(Таблица13[Кредити])</f>
        <v>0.32839199076027192</v>
      </c>
      <c r="L43">
        <f>KURT(Таблица13[Лихви кредити])</f>
        <v>-1.156376952533456</v>
      </c>
      <c r="M43">
        <f>KURT(Таблица13[Лизингови договори])</f>
        <v>9.9922898128093376</v>
      </c>
      <c r="N43">
        <f>KURT(Таблица13[Гориво])</f>
        <v>-0.92234380983822328</v>
      </c>
      <c r="O43">
        <f>KURT(Таблица13[Ремонт])</f>
        <v>3.5526268132027958</v>
      </c>
      <c r="P43">
        <f>KURT(Таблица13[Фуражи])</f>
        <v>-0.85230466396532778</v>
      </c>
      <c r="Q43">
        <f>KURT(Таблица13[Семенна течност])</f>
        <v>13.622036708774386</v>
      </c>
      <c r="R43">
        <f>KURT(Таблица13[Ушни марки])</f>
        <v>9.1778947247871301</v>
      </c>
      <c r="S43">
        <f>KURT(Таблица13[Други])</f>
        <v>12.815550756922315</v>
      </c>
      <c r="T43">
        <f>KURT(Таблица13[Общи разходи])</f>
        <v>-0.71374768132768684</v>
      </c>
      <c r="U43">
        <f>KURT(Таблица13[Печалба на месец])</f>
        <v>3.8834042360760153</v>
      </c>
      <c r="V43">
        <f>KURT(Таблица13[Производствени разходи])</f>
        <v>-1.0458701833795034</v>
      </c>
      <c r="W43">
        <f>KURT(Таблица13[Литри])</f>
        <v>1.1500353118810951</v>
      </c>
      <c r="X43">
        <f>KURT(Таблица13[Произ. разходи/литър])</f>
        <v>-0.21929897587746039</v>
      </c>
      <c r="Y43">
        <f>KURT(Таблица13[Мляко/Фураж])</f>
        <v>-1.0354870792999016E-3</v>
      </c>
    </row>
    <row r="44" spans="1:27" x14ac:dyDescent="0.35">
      <c r="A44" s="8"/>
    </row>
    <row r="45" spans="1:27" x14ac:dyDescent="0.35">
      <c r="A45" s="8"/>
    </row>
    <row r="46" spans="1:27" x14ac:dyDescent="0.35">
      <c r="A46" s="8" t="s">
        <v>62</v>
      </c>
      <c r="B46">
        <f>(B41/6)*(B42^2+(B43^2)/4)</f>
        <v>8.6654551650598535</v>
      </c>
      <c r="C46">
        <f t="shared" ref="C46:Y46" si="7">(C41/6)*(C42^2+(C43^2)/4)</f>
        <v>51.568130342181988</v>
      </c>
      <c r="D46">
        <f t="shared" si="7"/>
        <v>90.391275575720599</v>
      </c>
      <c r="E46">
        <f t="shared" si="7"/>
        <v>133.65934340052095</v>
      </c>
      <c r="F46">
        <f t="shared" si="7"/>
        <v>39.555476056172928</v>
      </c>
      <c r="G46">
        <f t="shared" si="7"/>
        <v>16.26434100193498</v>
      </c>
      <c r="H46">
        <f t="shared" si="7"/>
        <v>54.069305851135667</v>
      </c>
      <c r="I46">
        <f t="shared" si="7"/>
        <v>16.27929455521631</v>
      </c>
      <c r="J46">
        <f t="shared" si="7"/>
        <v>5.0003921559205429</v>
      </c>
      <c r="K46">
        <f t="shared" si="7"/>
        <v>2.0860724201899106</v>
      </c>
      <c r="L46">
        <f t="shared" si="7"/>
        <v>2.8038326605333328</v>
      </c>
      <c r="M46">
        <f t="shared" si="7"/>
        <v>199.12025332027525</v>
      </c>
      <c r="N46">
        <f t="shared" si="7"/>
        <v>4.18515896650245</v>
      </c>
      <c r="O46">
        <f t="shared" si="7"/>
        <v>29.480539605809746</v>
      </c>
      <c r="P46">
        <f t="shared" si="7"/>
        <v>1.1640261106130723</v>
      </c>
      <c r="Q46">
        <f t="shared" si="7"/>
        <v>334.70067035273712</v>
      </c>
      <c r="R46">
        <f t="shared" si="7"/>
        <v>178.58072705065248</v>
      </c>
      <c r="S46">
        <f t="shared" si="7"/>
        <v>324.06650456414002</v>
      </c>
      <c r="T46">
        <f t="shared" si="7"/>
        <v>0.93978768274088842</v>
      </c>
      <c r="U46">
        <f t="shared" si="7"/>
        <v>39.804587093704235</v>
      </c>
      <c r="V46">
        <f t="shared" si="7"/>
        <v>2.3465679977647165</v>
      </c>
      <c r="W46">
        <f t="shared" si="7"/>
        <v>5.9129595836484361</v>
      </c>
      <c r="X46">
        <f t="shared" si="7"/>
        <v>0.4180394273788226</v>
      </c>
      <c r="Y46">
        <f t="shared" si="7"/>
        <v>1.9314529776821829</v>
      </c>
    </row>
    <row r="47" spans="1:27" x14ac:dyDescent="0.35">
      <c r="A47" s="8" t="s">
        <v>63</v>
      </c>
      <c r="B47">
        <f>_xlfn.CHISQ.DIST.RT(B46,2)</f>
        <v>1.3131680854424675E-2</v>
      </c>
      <c r="C47">
        <f t="shared" ref="C47:Y47" si="8">_xlfn.CHISQ.DIST.RT(C46,2)</f>
        <v>6.3404893171842052E-12</v>
      </c>
      <c r="D47">
        <f t="shared" si="8"/>
        <v>2.3538777439064978E-20</v>
      </c>
      <c r="E47">
        <f t="shared" si="8"/>
        <v>9.4676534577460171E-30</v>
      </c>
      <c r="F47">
        <f t="shared" si="8"/>
        <v>2.5741716907175902E-9</v>
      </c>
      <c r="G47">
        <f t="shared" si="8"/>
        <v>2.9392953360558128E-4</v>
      </c>
      <c r="H47">
        <f t="shared" si="8"/>
        <v>1.8155132141438911E-12</v>
      </c>
      <c r="I47">
        <f t="shared" si="8"/>
        <v>2.9174008334956154E-4</v>
      </c>
      <c r="J47">
        <f t="shared" si="8"/>
        <v>8.2068905142639786E-2</v>
      </c>
      <c r="K47">
        <f t="shared" si="8"/>
        <v>0.35238314681139199</v>
      </c>
      <c r="L47">
        <f t="shared" si="8"/>
        <v>0.24612485521853264</v>
      </c>
      <c r="M47">
        <f t="shared" si="8"/>
        <v>5.7754572548382192E-44</v>
      </c>
      <c r="N47">
        <f t="shared" si="8"/>
        <v>0.12336849805927946</v>
      </c>
      <c r="O47">
        <f t="shared" si="8"/>
        <v>3.966268975133441E-7</v>
      </c>
      <c r="P47">
        <f t="shared" si="8"/>
        <v>0.55877239389034106</v>
      </c>
      <c r="Q47">
        <f t="shared" si="8"/>
        <v>2.0925357586515123E-73</v>
      </c>
      <c r="R47">
        <f t="shared" si="8"/>
        <v>1.6660492438507802E-39</v>
      </c>
      <c r="S47">
        <f t="shared" si="8"/>
        <v>4.264348100064843E-71</v>
      </c>
      <c r="T47">
        <f t="shared" si="8"/>
        <v>0.62506862118887541</v>
      </c>
      <c r="U47">
        <f t="shared" si="8"/>
        <v>2.2727084955877124E-9</v>
      </c>
      <c r="V47">
        <f t="shared" si="8"/>
        <v>0.30934936834592719</v>
      </c>
      <c r="W47">
        <f t="shared" si="8"/>
        <v>5.2001651992218144E-2</v>
      </c>
      <c r="X47">
        <f t="shared" si="8"/>
        <v>0.81137924020741115</v>
      </c>
      <c r="Y47">
        <f t="shared" si="8"/>
        <v>0.38070652021054735</v>
      </c>
    </row>
    <row r="48" spans="1:27" x14ac:dyDescent="0.35">
      <c r="A48" s="8" t="s">
        <v>64</v>
      </c>
      <c r="B48" t="str">
        <f>IF(B47&lt;0.05,"Reject","Accept")</f>
        <v>Reject</v>
      </c>
      <c r="C48" t="str">
        <f t="shared" ref="C48:Y48" si="9">IF(C47&lt;0.05,"Reject","Accept")</f>
        <v>Reject</v>
      </c>
      <c r="D48" t="str">
        <f t="shared" si="9"/>
        <v>Reject</v>
      </c>
      <c r="E48" t="str">
        <f t="shared" si="9"/>
        <v>Reject</v>
      </c>
      <c r="F48" t="str">
        <f t="shared" si="9"/>
        <v>Reject</v>
      </c>
      <c r="G48" t="str">
        <f t="shared" si="9"/>
        <v>Reject</v>
      </c>
      <c r="H48" t="str">
        <f t="shared" si="9"/>
        <v>Reject</v>
      </c>
      <c r="I48" t="str">
        <f t="shared" si="9"/>
        <v>Reject</v>
      </c>
      <c r="J48" t="str">
        <f t="shared" si="9"/>
        <v>Accept</v>
      </c>
      <c r="K48" t="str">
        <f t="shared" si="9"/>
        <v>Accept</v>
      </c>
      <c r="L48" t="str">
        <f t="shared" si="9"/>
        <v>Accept</v>
      </c>
      <c r="M48" t="str">
        <f t="shared" si="9"/>
        <v>Reject</v>
      </c>
      <c r="N48" t="str">
        <f t="shared" si="9"/>
        <v>Accept</v>
      </c>
      <c r="O48" t="str">
        <f t="shared" si="9"/>
        <v>Reject</v>
      </c>
      <c r="P48" t="str">
        <f t="shared" si="9"/>
        <v>Accept</v>
      </c>
      <c r="Q48" t="str">
        <f t="shared" si="9"/>
        <v>Reject</v>
      </c>
      <c r="R48" t="str">
        <f t="shared" si="9"/>
        <v>Reject</v>
      </c>
      <c r="S48" t="str">
        <f t="shared" si="9"/>
        <v>Reject</v>
      </c>
      <c r="T48" t="str">
        <f t="shared" si="9"/>
        <v>Accept</v>
      </c>
      <c r="U48" t="str">
        <f t="shared" si="9"/>
        <v>Reject</v>
      </c>
      <c r="V48" t="str">
        <f t="shared" si="9"/>
        <v>Accept</v>
      </c>
      <c r="W48" t="str">
        <f t="shared" si="9"/>
        <v>Accept</v>
      </c>
      <c r="X48" t="str">
        <f t="shared" si="9"/>
        <v>Accept</v>
      </c>
      <c r="Y48" t="str">
        <f t="shared" si="9"/>
        <v>Accept</v>
      </c>
    </row>
    <row r="49" spans="1:27" x14ac:dyDescent="0.35">
      <c r="A49" s="8" t="s">
        <v>65</v>
      </c>
    </row>
    <row r="51" spans="1:27" x14ac:dyDescent="0.35">
      <c r="A51" s="9">
        <v>0.1</v>
      </c>
      <c r="B51">
        <f>_xlfn.PERCENTILE.INC(Таблица13[Приход мляко],$A$51)</f>
        <v>124072.93</v>
      </c>
      <c r="C51">
        <f>_xlfn.PERCENTILE.INC(Таблица13[Приход животни],$A$51)</f>
        <v>0</v>
      </c>
      <c r="D51">
        <f>_xlfn.PERCENTILE.INC(Таблица13[Приходи телета],$A$51)</f>
        <v>0</v>
      </c>
      <c r="E51">
        <f>_xlfn.PERCENTILE.INC(Таблица13[Субсидия],$A$51)</f>
        <v>0</v>
      </c>
      <c r="F51">
        <f>_xlfn.PERCENTILE.INC(Таблица13[Общи приходи],$A$51)</f>
        <v>134778.80499999999</v>
      </c>
      <c r="G51">
        <f>_xlfn.PERCENTILE.INC(Таблица13[Разходи лекарства],$A$51)</f>
        <v>841.78</v>
      </c>
      <c r="H51">
        <f>_xlfn.PERCENTILE.INC(Таблица13[Ел енергия],$A$51)</f>
        <v>3743.08</v>
      </c>
      <c r="I51">
        <f>_xlfn.PERCENTILE.INC(Таблица13[Застраховни],$A$51)</f>
        <v>0</v>
      </c>
      <c r="J51">
        <f>_xlfn.PERCENTILE.INC(Таблица13[Заплати + осигуровки],$A$51)</f>
        <v>3289.9399999999996</v>
      </c>
      <c r="K51">
        <f>_xlfn.PERCENTILE.INC(Таблица13[Кредити],$A$51)</f>
        <v>2375</v>
      </c>
      <c r="L51">
        <f>_xlfn.PERCENTILE.INC(Таблица13[Лихви кредити],$A$51)</f>
        <v>724.53</v>
      </c>
      <c r="M51">
        <f>_xlfn.PERCENTILE.INC(Таблица13[Лизингови договори],$A$51)</f>
        <v>1381.77</v>
      </c>
      <c r="N51">
        <f>_xlfn.PERCENTILE.INC(Таблица13[Гориво],$A$51)</f>
        <v>3714.5550000000003</v>
      </c>
      <c r="O51">
        <f>_xlfn.PERCENTILE.INC(Таблица13[Ремонт],$A$51)</f>
        <v>1649.75</v>
      </c>
      <c r="P51">
        <f>_xlfn.PERCENTILE.INC(Таблица13[Фуражи],$A$51)</f>
        <v>58503.305</v>
      </c>
      <c r="Q51">
        <f>_xlfn.PERCENTILE.INC(Таблица13[Семенна течност],$A$51)</f>
        <v>0</v>
      </c>
      <c r="R51">
        <f>_xlfn.PERCENTILE.INC(Таблица13[Ушни марки],$A$51)</f>
        <v>0</v>
      </c>
      <c r="S51">
        <f>_xlfn.PERCENTILE.INC(Таблица13[Други],$A$51)</f>
        <v>0</v>
      </c>
      <c r="T51">
        <f>_xlfn.PERCENTILE.INC(Таблица13[Общи разходи],$A$51)</f>
        <v>109380.93500000001</v>
      </c>
      <c r="U51">
        <f>_xlfn.PERCENTILE.INC(Таблица13[Печалба на месец],$A$51)</f>
        <v>-10695.160000000003</v>
      </c>
      <c r="V51">
        <f>_xlfn.PERCENTILE.INC(Таблица13[Производствени разходи],$A$51)</f>
        <v>75034.400000000009</v>
      </c>
      <c r="W51">
        <f>_xlfn.PERCENTILE.INC(Таблица13[Литри],$A$51)</f>
        <v>180133</v>
      </c>
      <c r="X51">
        <f>_xlfn.PERCENTILE.INC(Таблица13[Произ. разходи/литър],$A$51)</f>
        <v>0.38587694830596575</v>
      </c>
      <c r="Y51">
        <f>_xlfn.PERCENTILE.INC(Таблица13[Мляко/Фураж],$A$51)</f>
        <v>1.3718779990839169</v>
      </c>
    </row>
    <row r="52" spans="1:27" x14ac:dyDescent="0.35">
      <c r="A52" s="9">
        <v>0.5</v>
      </c>
      <c r="B52">
        <f>_xlfn.PERCENTILE.INC(Таблица13[Приход мляко],$A$52)</f>
        <v>170894.995</v>
      </c>
      <c r="C52">
        <f>_xlfn.PERCENTILE.INC(Таблица13[Приход животни],$A$52)</f>
        <v>0</v>
      </c>
      <c r="D52">
        <f>_xlfn.PERCENTILE.INC(Таблица13[Приходи телета],$A$52)</f>
        <v>0</v>
      </c>
      <c r="E52">
        <f>_xlfn.PERCENTILE.INC(Таблица13[Субсидия],$A$52)</f>
        <v>4936.26</v>
      </c>
      <c r="F52">
        <f>_xlfn.PERCENTILE.INC(Таблица13[Общи приходи],$A$52)</f>
        <v>191410.09</v>
      </c>
      <c r="G52">
        <f>_xlfn.PERCENTILE.INC(Таблица13[Разходи лекарства],$A$52)</f>
        <v>2227.3450000000003</v>
      </c>
      <c r="H52">
        <f>_xlfn.PERCENTILE.INC(Таблица13[Ел енергия],$A$52)</f>
        <v>5338.07</v>
      </c>
      <c r="I52">
        <f>_xlfn.PERCENTILE.INC(Таблица13[Застраховни],$A$52)</f>
        <v>494.08</v>
      </c>
      <c r="J52">
        <f>_xlfn.PERCENTILE.INC(Таблица13[Заплати + осигуровки],$A$52)</f>
        <v>7971.16</v>
      </c>
      <c r="K52">
        <f>_xlfn.PERCENTILE.INC(Таблица13[Кредити],$A$52)</f>
        <v>23829.23</v>
      </c>
      <c r="L52">
        <f>_xlfn.PERCENTILE.INC(Таблица13[Лихви кредити],$A$52)</f>
        <v>5349.8050000000003</v>
      </c>
      <c r="M52">
        <f>_xlfn.PERCENTILE.INC(Таблица13[Лизингови договори],$A$52)</f>
        <v>2601.8850000000002</v>
      </c>
      <c r="N52">
        <f>_xlfn.PERCENTILE.INC(Таблица13[Гориво],$A$52)</f>
        <v>4564.8150000000005</v>
      </c>
      <c r="O52">
        <f>_xlfn.PERCENTILE.INC(Таблица13[Ремонт],$A$52)</f>
        <v>3543.1</v>
      </c>
      <c r="P52">
        <f>_xlfn.PERCENTILE.INC(Таблица13[Фуражи],$A$52)</f>
        <v>101639.30499999999</v>
      </c>
      <c r="Q52">
        <f>_xlfn.PERCENTILE.INC(Таблица13[Семенна течност],$A$52)</f>
        <v>981.3</v>
      </c>
      <c r="R52">
        <f>_xlfn.PERCENTILE.INC(Таблица13[Ушни марки],$A$52)</f>
        <v>0</v>
      </c>
      <c r="S52">
        <f>_xlfn.PERCENTILE.INC(Таблица13[Други],$A$52)</f>
        <v>178.1</v>
      </c>
      <c r="T52">
        <f>_xlfn.PERCENTILE.INC(Таблица13[Общи разходи],$A$52)</f>
        <v>156522.25</v>
      </c>
      <c r="U52">
        <f>_xlfn.PERCENTILE.INC(Таблица13[Печалба на месец],$A$52)</f>
        <v>29409.380000000019</v>
      </c>
      <c r="V52">
        <f>_xlfn.PERCENTILE.INC(Таблица13[Производствени разходи],$A$52)</f>
        <v>134496.85999999999</v>
      </c>
      <c r="W52">
        <f>_xlfn.PERCENTILE.INC(Таблица13[Литри],$A$52)</f>
        <v>215245</v>
      </c>
      <c r="X52">
        <f>_xlfn.PERCENTILE.INC(Таблица13[Произ. разходи/литър],$A$52)</f>
        <v>0.55671361791250384</v>
      </c>
      <c r="Y52" s="3">
        <f>_xlfn.PERCENTILE.INC(Таблица13[Мляко/Фураж],$A$52)</f>
        <v>1.7276686251709061</v>
      </c>
    </row>
    <row r="53" spans="1:27" x14ac:dyDescent="0.35">
      <c r="A53" s="9">
        <v>0.95</v>
      </c>
      <c r="B53">
        <f>_xlfn.PERCENTILE.INC(Таблица13[Приход мляко],$A$53)</f>
        <v>201376.32750000001</v>
      </c>
      <c r="C53">
        <f>_xlfn.PERCENTILE.INC(Таблица13[Приход животни],$A$53)</f>
        <v>15713.75</v>
      </c>
      <c r="D53">
        <f>_xlfn.PERCENTILE.INC(Таблица13[Приходи телета],$A$53)</f>
        <v>1967</v>
      </c>
      <c r="E53">
        <f>_xlfn.PERCENTILE.INC(Таблица13[Субсидия],$A$53)</f>
        <v>156554.82250000001</v>
      </c>
      <c r="F53">
        <f>_xlfn.PERCENTILE.INC(Таблица13[Общи приходи],$A$53)</f>
        <v>334617.13750000001</v>
      </c>
      <c r="G53">
        <f>_xlfn.PERCENTILE.INC(Таблица13[Разходи лекарства],$A$53)</f>
        <v>5988.7274999999991</v>
      </c>
      <c r="H53">
        <f>_xlfn.PERCENTILE.INC(Таблица13[Ел енергия],$A$53)</f>
        <v>10873.6775</v>
      </c>
      <c r="I53">
        <f>_xlfn.PERCENTILE.INC(Таблица13[Застраховни],$A$53)</f>
        <v>4963.2224999999989</v>
      </c>
      <c r="J53">
        <f>_xlfn.PERCENTILE.INC(Таблица13[Заплати + осигуровки],$A$53)</f>
        <v>9616.4699999999993</v>
      </c>
      <c r="K53">
        <f>_xlfn.PERCENTILE.INC(Таблица13[Кредити],$A$53)</f>
        <v>48993.877500000002</v>
      </c>
      <c r="L53">
        <f>_xlfn.PERCENTILE.INC(Таблица13[Лихви кредити],$A$53)</f>
        <v>12104.692499999999</v>
      </c>
      <c r="M53">
        <f>_xlfn.PERCENTILE.INC(Таблица13[Лизингови договори],$A$53)</f>
        <v>12038.1775</v>
      </c>
      <c r="N53">
        <f>_xlfn.PERCENTILE.INC(Таблица13[Гориво],$A$53)</f>
        <v>8551.3274999999994</v>
      </c>
      <c r="O53">
        <f>_xlfn.PERCENTILE.INC(Таблица13[Ремонт],$A$53)</f>
        <v>6587.3424999999997</v>
      </c>
      <c r="P53">
        <f>_xlfn.PERCENTILE.INC(Таблица13[Фуражи],$A$53)</f>
        <v>132933.4975</v>
      </c>
      <c r="Q53">
        <f>_xlfn.PERCENTILE.INC(Таблица13[Семенна течност],$A$53)</f>
        <v>2369.11</v>
      </c>
      <c r="R53">
        <f>_xlfn.PERCENTILE.INC(Таблица13[Ушни марки],$A$53)</f>
        <v>338.125</v>
      </c>
      <c r="S53">
        <f>_xlfn.PERCENTILE.INC(Таблица13[Други],$A$53)</f>
        <v>3048.7725</v>
      </c>
      <c r="T53">
        <f>_xlfn.PERCENTILE.INC(Таблица13[Общи разходи],$A$53)</f>
        <v>208376.9425</v>
      </c>
      <c r="U53">
        <f>_xlfn.PERCENTILE.INC(Таблица13[Печалба на месец],$A$53)</f>
        <v>158524.27000000002</v>
      </c>
      <c r="V53">
        <f>_xlfn.PERCENTILE.INC(Таблица13[Производствени разходи],$A$53)</f>
        <v>166872.73749999999</v>
      </c>
      <c r="W53">
        <f>_xlfn.PERCENTILE.INC(Таблица13[Литри],$A$53)</f>
        <v>278337.25</v>
      </c>
      <c r="X53">
        <f>_xlfn.PERCENTILE.INC(Таблица13[Произ. разходи/литър],$A$53)</f>
        <v>0.78614459200584386</v>
      </c>
      <c r="Y53">
        <f>_xlfn.PERCENTILE.INC(Таблица13[Мляко/Фураж],$A$53)</f>
        <v>2.419331330929881</v>
      </c>
    </row>
    <row r="54" spans="1:27" x14ac:dyDescent="0.35">
      <c r="A54" s="9">
        <v>0.05</v>
      </c>
      <c r="B54">
        <f>_xlfn.PERCENTILE.INC(Таблица13[Приход мляко],$A$54)</f>
        <v>109254.20999999999</v>
      </c>
      <c r="C54">
        <f>_xlfn.PERCENTILE.INC(Таблица13[Приход животни],$A$54)</f>
        <v>0</v>
      </c>
      <c r="D54">
        <f>_xlfn.PERCENTILE.INC(Таблица13[Приходи телета],$A$54)</f>
        <v>0</v>
      </c>
      <c r="E54">
        <f>_xlfn.PERCENTILE.INC(Таблица13[Субсидия],$A$54)</f>
        <v>0</v>
      </c>
      <c r="F54">
        <f>_xlfn.PERCENTILE.INC(Таблица13[Общи приходи],$A$54)</f>
        <v>112522.20999999999</v>
      </c>
      <c r="G54">
        <f>_xlfn.PERCENTILE.INC(Таблица13[Разходи лекарства],$A$54)</f>
        <v>681.04250000000002</v>
      </c>
      <c r="H54">
        <f>_xlfn.PERCENTILE.INC(Таблица13[Ел енергия],$A$54)</f>
        <v>3688.0275000000001</v>
      </c>
      <c r="I54">
        <f>_xlfn.PERCENTILE.INC(Таблица13[Застраховни],$A$54)</f>
        <v>0</v>
      </c>
      <c r="J54">
        <f>_xlfn.PERCENTILE.INC(Таблица13[Заплати + осигуровки],$A$54)</f>
        <v>2935.4549999999999</v>
      </c>
      <c r="K54">
        <f>_xlfn.PERCENTILE.INC(Таблица13[Кредити],$A$54)</f>
        <v>0</v>
      </c>
      <c r="L54">
        <f>_xlfn.PERCENTILE.INC(Таблица13[Лихви кредити],$A$54)</f>
        <v>291.78749999999997</v>
      </c>
      <c r="M54">
        <f>_xlfn.PERCENTILE.INC(Таблица13[Лизингови договори],$A$54)</f>
        <v>627.07249999999999</v>
      </c>
      <c r="N54">
        <f>_xlfn.PERCENTILE.INC(Таблица13[Гориво],$A$54)</f>
        <v>3661.4524999999999</v>
      </c>
      <c r="O54">
        <f>_xlfn.PERCENTILE.INC(Таблица13[Ремонт],$A$54)</f>
        <v>1380.0449999999998</v>
      </c>
      <c r="P54">
        <f>_xlfn.PERCENTILE.INC(Таблица13[Фуражи],$A$54)</f>
        <v>56390.61</v>
      </c>
      <c r="Q54">
        <f>_xlfn.PERCENTILE.INC(Таблица13[Семенна течност],$A$54)</f>
        <v>0</v>
      </c>
      <c r="R54">
        <f>_xlfn.PERCENTILE.INC(Таблица13[Ушни марки],$A$54)</f>
        <v>0</v>
      </c>
      <c r="S54">
        <f>_xlfn.PERCENTILE.INC(Таблица13[Други],$A$54)</f>
        <v>0</v>
      </c>
      <c r="T54">
        <f>_xlfn.PERCENTILE.INC(Таблица13[Общи разходи],$A$54)</f>
        <v>106511.77999999998</v>
      </c>
      <c r="U54">
        <f>_xlfn.PERCENTILE.INC(Таблица13[Печалба на месец],$A$54)</f>
        <v>-20015.472499999982</v>
      </c>
      <c r="V54">
        <f>_xlfn.PERCENTILE.INC(Таблица13[Производствени разходи],$A$54)</f>
        <v>72051.895000000004</v>
      </c>
      <c r="W54">
        <f>_xlfn.PERCENTILE.INC(Таблица13[Литри],$A$54)</f>
        <v>157880.25</v>
      </c>
      <c r="X54">
        <f>_xlfn.PERCENTILE.INC(Таблица13[Произ. разходи/литър],$A$54)</f>
        <v>0.37455077749662413</v>
      </c>
      <c r="Y54" s="3">
        <f>_xlfn.PERCENTILE.INC(Таблица13[Мляко/Фураж],$A$54)</f>
        <v>1.3351819954766442</v>
      </c>
    </row>
    <row r="55" spans="1:27" x14ac:dyDescent="0.35">
      <c r="Y55">
        <f>STDEV(Таблица13[Мляко/Фураж])</f>
        <v>0.38716237655052144</v>
      </c>
    </row>
    <row r="56" spans="1:27" x14ac:dyDescent="0.35">
      <c r="A56" s="9">
        <v>0.25</v>
      </c>
      <c r="B56">
        <f>_xlfn.PERCENTILE.INC(Таблица13[Приход мляко],$A$53)</f>
        <v>201376.32750000001</v>
      </c>
      <c r="Y56">
        <f>CONFIDENCE(0.05,Y55,Y41)</f>
        <v>0.12647071903465942</v>
      </c>
    </row>
    <row r="57" spans="1:27" x14ac:dyDescent="0.35">
      <c r="A57" s="9">
        <v>0.75</v>
      </c>
      <c r="Y57">
        <f>AVERAGE(Таблица13[Мляко/Фураж])</f>
        <v>1.7559953156135779</v>
      </c>
    </row>
    <row r="58" spans="1:27" x14ac:dyDescent="0.35">
      <c r="A58" s="9">
        <v>0.2</v>
      </c>
      <c r="Y58">
        <f>Y57-Y56</f>
        <v>1.6295245965789185</v>
      </c>
    </row>
    <row r="59" spans="1:27" x14ac:dyDescent="0.35">
      <c r="A59" s="9">
        <v>0.8</v>
      </c>
      <c r="Y59">
        <f>Y57+Y56</f>
        <v>1.8824660346482374</v>
      </c>
    </row>
    <row r="60" spans="1:27" x14ac:dyDescent="0.35">
      <c r="Y60">
        <f>MEDIAN(Таблица13[Мляко/Фураж])</f>
        <v>1.7276686251709061</v>
      </c>
    </row>
    <row r="61" spans="1:27" ht="15" thickBot="1" x14ac:dyDescent="0.4">
      <c r="A61" s="9"/>
    </row>
    <row r="62" spans="1:27" x14ac:dyDescent="0.35">
      <c r="A62" s="15"/>
      <c r="B62" s="15" t="s">
        <v>0</v>
      </c>
      <c r="C62" s="15" t="s">
        <v>1</v>
      </c>
      <c r="D62" s="15" t="s">
        <v>2</v>
      </c>
      <c r="E62" s="15" t="s">
        <v>3</v>
      </c>
      <c r="F62" s="15" t="s">
        <v>4</v>
      </c>
      <c r="G62" s="15" t="s">
        <v>5</v>
      </c>
      <c r="H62" s="15" t="s">
        <v>6</v>
      </c>
      <c r="I62" s="15" t="s">
        <v>7</v>
      </c>
      <c r="J62" s="15" t="s">
        <v>8</v>
      </c>
      <c r="K62" s="15" t="s">
        <v>9</v>
      </c>
      <c r="L62" s="15" t="s">
        <v>10</v>
      </c>
      <c r="M62" s="15" t="s">
        <v>11</v>
      </c>
      <c r="N62" s="15" t="s">
        <v>12</v>
      </c>
      <c r="O62" s="15" t="s">
        <v>13</v>
      </c>
      <c r="P62" s="15" t="s">
        <v>14</v>
      </c>
      <c r="Q62" s="15" t="s">
        <v>15</v>
      </c>
      <c r="R62" s="15" t="s">
        <v>16</v>
      </c>
      <c r="S62" s="15" t="s">
        <v>17</v>
      </c>
      <c r="T62" s="15" t="s">
        <v>18</v>
      </c>
      <c r="U62" s="15" t="s">
        <v>33</v>
      </c>
      <c r="V62" s="15" t="s">
        <v>38</v>
      </c>
      <c r="W62" s="15" t="s">
        <v>32</v>
      </c>
      <c r="X62" s="15" t="s">
        <v>50</v>
      </c>
      <c r="Y62" s="15" t="s">
        <v>34</v>
      </c>
      <c r="Z62" s="15" t="s">
        <v>75</v>
      </c>
      <c r="AA62" s="15"/>
    </row>
    <row r="63" spans="1:27" x14ac:dyDescent="0.35">
      <c r="A63" t="s">
        <v>0</v>
      </c>
      <c r="B63" s="16">
        <v>1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4"/>
    </row>
    <row r="64" spans="1:27" x14ac:dyDescent="0.35">
      <c r="A64" t="s">
        <v>1</v>
      </c>
      <c r="B64" s="16">
        <v>-7.4553949242614159E-2</v>
      </c>
      <c r="C64" s="16">
        <v>1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4"/>
    </row>
    <row r="65" spans="1:27" x14ac:dyDescent="0.35">
      <c r="A65" t="s">
        <v>2</v>
      </c>
      <c r="B65" s="16">
        <v>0.26378190326159667</v>
      </c>
      <c r="C65" s="16">
        <v>0.11383808869515082</v>
      </c>
      <c r="D65" s="16">
        <v>1</v>
      </c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4"/>
    </row>
    <row r="66" spans="1:27" x14ac:dyDescent="0.35">
      <c r="A66" t="s">
        <v>3</v>
      </c>
      <c r="B66" s="16">
        <v>8.9944311991003861E-2</v>
      </c>
      <c r="C66" s="16">
        <v>-5.7078412712209634E-2</v>
      </c>
      <c r="D66" s="16">
        <v>-8.922676841044223E-3</v>
      </c>
      <c r="E66" s="16">
        <v>1</v>
      </c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4"/>
    </row>
    <row r="67" spans="1:27" x14ac:dyDescent="0.35">
      <c r="A67" t="s">
        <v>4</v>
      </c>
      <c r="B67" s="16">
        <v>0.49508090602769139</v>
      </c>
      <c r="C67" s="16">
        <v>-6.8258171032119222E-3</v>
      </c>
      <c r="D67" s="16">
        <v>0.1190921570521848</v>
      </c>
      <c r="E67" s="19">
        <v>0.90666496916052353</v>
      </c>
      <c r="F67" s="16">
        <v>1</v>
      </c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4"/>
    </row>
    <row r="68" spans="1:27" x14ac:dyDescent="0.35">
      <c r="A68" t="s">
        <v>5</v>
      </c>
      <c r="B68" s="16">
        <v>0.35242370393750849</v>
      </c>
      <c r="C68" s="16">
        <v>0.11271619051003967</v>
      </c>
      <c r="D68" s="16">
        <v>-1.8018607545447277E-2</v>
      </c>
      <c r="E68" s="16">
        <v>0.19906872156902825</v>
      </c>
      <c r="F68" s="16">
        <v>0.32996663501017859</v>
      </c>
      <c r="G68" s="16">
        <v>1</v>
      </c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4"/>
    </row>
    <row r="69" spans="1:27" x14ac:dyDescent="0.35">
      <c r="A69" t="s">
        <v>6</v>
      </c>
      <c r="B69" s="16">
        <v>0.31522944250381424</v>
      </c>
      <c r="C69" s="16">
        <v>0.1235828802799681</v>
      </c>
      <c r="D69" s="16">
        <v>-0.10834685108747498</v>
      </c>
      <c r="E69" s="16">
        <v>0.43030914749874399</v>
      </c>
      <c r="F69" s="16">
        <v>0.51635264216746179</v>
      </c>
      <c r="G69" s="16">
        <v>0.58212820631066087</v>
      </c>
      <c r="H69" s="16">
        <v>1</v>
      </c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4"/>
    </row>
    <row r="70" spans="1:27" x14ac:dyDescent="0.35">
      <c r="A70" t="s">
        <v>7</v>
      </c>
      <c r="B70" s="16">
        <v>9.013254150765268E-2</v>
      </c>
      <c r="C70" s="16">
        <v>-8.0576291472380365E-2</v>
      </c>
      <c r="D70" s="16">
        <v>-6.5860329169866338E-2</v>
      </c>
      <c r="E70" s="16">
        <v>0.59932727849044609</v>
      </c>
      <c r="F70" s="16">
        <v>0.5547297504429255</v>
      </c>
      <c r="G70" s="16">
        <v>0.1669152970160285</v>
      </c>
      <c r="H70" s="16">
        <v>0.24523689041863528</v>
      </c>
      <c r="I70" s="16">
        <v>1</v>
      </c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4"/>
    </row>
    <row r="71" spans="1:27" x14ac:dyDescent="0.35">
      <c r="A71" t="s">
        <v>8</v>
      </c>
      <c r="B71" s="19">
        <v>0.82599004418648792</v>
      </c>
      <c r="C71" s="16">
        <v>6.674020107551952E-2</v>
      </c>
      <c r="D71" s="16">
        <v>0.30316342497616811</v>
      </c>
      <c r="E71" s="16">
        <v>0.16426096719369226</v>
      </c>
      <c r="F71" s="16">
        <v>0.49757167900831584</v>
      </c>
      <c r="G71" s="16">
        <v>0.42199699772640042</v>
      </c>
      <c r="H71" s="16">
        <v>0.4196441301073261</v>
      </c>
      <c r="I71" s="16">
        <v>0.13280915859901291</v>
      </c>
      <c r="J71" s="16">
        <v>1</v>
      </c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4"/>
    </row>
    <row r="72" spans="1:27" x14ac:dyDescent="0.35">
      <c r="A72" t="s">
        <v>9</v>
      </c>
      <c r="B72" s="16">
        <v>0.10721851812474667</v>
      </c>
      <c r="C72" s="16">
        <v>-0.16173933612944658</v>
      </c>
      <c r="D72" s="16">
        <v>-0.19633665514644708</v>
      </c>
      <c r="E72" s="16">
        <v>0.43496221127318196</v>
      </c>
      <c r="F72" s="16">
        <v>0.41141934600898233</v>
      </c>
      <c r="G72" s="16">
        <v>0.22370513821889043</v>
      </c>
      <c r="H72" s="16">
        <v>0.19390533381031649</v>
      </c>
      <c r="I72" s="16">
        <v>0.4765573262356233</v>
      </c>
      <c r="J72" s="16">
        <v>-4.1611974058043552E-2</v>
      </c>
      <c r="K72" s="16">
        <v>1</v>
      </c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4"/>
    </row>
    <row r="73" spans="1:27" x14ac:dyDescent="0.35">
      <c r="A73" t="s">
        <v>10</v>
      </c>
      <c r="B73" s="16">
        <v>-0.43979297452589489</v>
      </c>
      <c r="C73" s="16">
        <v>-0.12640762599337241</v>
      </c>
      <c r="D73" s="16">
        <v>-0.27231172956846483</v>
      </c>
      <c r="E73" s="16">
        <v>0.15191044549822338</v>
      </c>
      <c r="F73" s="16">
        <v>-6.3454593986289221E-2</v>
      </c>
      <c r="G73" s="16">
        <v>-0.18663726656716706</v>
      </c>
      <c r="H73" s="16">
        <v>-0.29267133492861813</v>
      </c>
      <c r="I73" s="16">
        <v>0.23433318076832255</v>
      </c>
      <c r="J73" s="16">
        <v>-0.47464863952409753</v>
      </c>
      <c r="K73" s="16">
        <v>0.36571669935047862</v>
      </c>
      <c r="L73" s="16">
        <v>1</v>
      </c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4"/>
    </row>
    <row r="74" spans="1:27" x14ac:dyDescent="0.35">
      <c r="A74" t="s">
        <v>11</v>
      </c>
      <c r="B74" s="16">
        <v>-9.0558806590378071E-2</v>
      </c>
      <c r="C74" s="16">
        <v>-0.10208549758374409</v>
      </c>
      <c r="D74" s="16">
        <v>-8.1841787812562197E-2</v>
      </c>
      <c r="E74" s="16">
        <v>-0.1618926824890641</v>
      </c>
      <c r="F74" s="16">
        <v>-0.18752047034539318</v>
      </c>
      <c r="G74" s="16">
        <v>-0.28783465321950275</v>
      </c>
      <c r="H74" s="16">
        <v>-0.26589959860287171</v>
      </c>
      <c r="I74" s="16">
        <v>2.8468524061835069E-3</v>
      </c>
      <c r="J74" s="16">
        <v>-0.18064085499909058</v>
      </c>
      <c r="K74" s="16">
        <v>0.16160088512356957</v>
      </c>
      <c r="L74" s="16">
        <v>2.6971946969709629E-2</v>
      </c>
      <c r="M74" s="16">
        <v>1</v>
      </c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4"/>
    </row>
    <row r="75" spans="1:27" x14ac:dyDescent="0.35">
      <c r="A75" t="s">
        <v>12</v>
      </c>
      <c r="B75" s="16">
        <v>0.42628101010459818</v>
      </c>
      <c r="C75" s="16">
        <v>4.1970517590509092E-2</v>
      </c>
      <c r="D75" s="16">
        <v>1.5194127463945988E-2</v>
      </c>
      <c r="E75" s="16">
        <v>2.7809944192976801E-3</v>
      </c>
      <c r="F75" s="16">
        <v>0.18465766405025238</v>
      </c>
      <c r="G75" s="16">
        <v>0.47208528504420055</v>
      </c>
      <c r="H75" s="16">
        <v>0.53713526174635273</v>
      </c>
      <c r="I75" s="16">
        <v>-8.360071108232682E-2</v>
      </c>
      <c r="J75" s="16">
        <v>0.54838629359363855</v>
      </c>
      <c r="K75" s="16">
        <v>-8.6532481092180868E-2</v>
      </c>
      <c r="L75" s="16">
        <v>-0.50459464485590377</v>
      </c>
      <c r="M75" s="16">
        <v>-0.12998630537052294</v>
      </c>
      <c r="N75" s="16">
        <v>1</v>
      </c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4"/>
    </row>
    <row r="76" spans="1:27" x14ac:dyDescent="0.35">
      <c r="A76" t="s">
        <v>13</v>
      </c>
      <c r="B76" s="16">
        <v>0.46258443220722129</v>
      </c>
      <c r="C76" s="16">
        <v>8.6789975326649949E-2</v>
      </c>
      <c r="D76" s="16">
        <v>8.6915159729620606E-2</v>
      </c>
      <c r="E76" s="16">
        <v>-0.1562209652336975</v>
      </c>
      <c r="F76" s="16">
        <v>6.4918341290275919E-2</v>
      </c>
      <c r="G76" s="16">
        <v>0.16852001379868389</v>
      </c>
      <c r="H76" s="16">
        <v>0.10692218554072713</v>
      </c>
      <c r="I76" s="16">
        <v>-0.21977910455126876</v>
      </c>
      <c r="J76" s="16">
        <v>0.43693812633305429</v>
      </c>
      <c r="K76" s="16">
        <v>-0.23679523088382309</v>
      </c>
      <c r="L76" s="16">
        <v>-0.19640009590734234</v>
      </c>
      <c r="M76" s="16">
        <v>-0.10222568134964082</v>
      </c>
      <c r="N76" s="16">
        <v>0.21790017226052677</v>
      </c>
      <c r="O76" s="16">
        <v>1</v>
      </c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4"/>
    </row>
    <row r="77" spans="1:27" x14ac:dyDescent="0.35">
      <c r="A77" t="s">
        <v>14</v>
      </c>
      <c r="B77" s="19">
        <v>0.725529058276981</v>
      </c>
      <c r="C77" s="16">
        <v>-0.10026881485039005</v>
      </c>
      <c r="D77" s="16">
        <v>0.29588134567822005</v>
      </c>
      <c r="E77" s="16">
        <v>0.19813855580979978</v>
      </c>
      <c r="F77" s="16">
        <v>0.47263844875846195</v>
      </c>
      <c r="G77" s="16">
        <v>0.39308144485352703</v>
      </c>
      <c r="H77" s="16">
        <v>0.43029422399042128</v>
      </c>
      <c r="I77" s="16">
        <v>0.18622170189850315</v>
      </c>
      <c r="J77" s="19">
        <v>0.82500861301770478</v>
      </c>
      <c r="K77" s="16">
        <v>2.0966500407021017E-2</v>
      </c>
      <c r="L77" s="16">
        <v>-0.5502350046653014</v>
      </c>
      <c r="M77" s="16">
        <v>-0.16844362669500171</v>
      </c>
      <c r="N77" s="16">
        <v>0.46877228957404804</v>
      </c>
      <c r="O77" s="16">
        <v>0.36630784812286027</v>
      </c>
      <c r="P77" s="16">
        <v>1</v>
      </c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4"/>
    </row>
    <row r="78" spans="1:27" x14ac:dyDescent="0.35">
      <c r="A78" t="s">
        <v>15</v>
      </c>
      <c r="B78" s="16">
        <v>-0.16578522437469939</v>
      </c>
      <c r="C78" s="16">
        <v>0.48377829035847175</v>
      </c>
      <c r="D78" s="16">
        <v>0.17248498023825767</v>
      </c>
      <c r="E78" s="16">
        <v>0.10672005898428011</v>
      </c>
      <c r="F78" s="16">
        <v>6.0421056382393611E-2</v>
      </c>
      <c r="G78" s="16">
        <v>-6.8375641597231501E-2</v>
      </c>
      <c r="H78" s="16">
        <v>-0.30236329088346736</v>
      </c>
      <c r="I78" s="16">
        <v>0.25543508572672441</v>
      </c>
      <c r="J78" s="16">
        <v>-5.2844981921285634E-3</v>
      </c>
      <c r="K78" s="16">
        <v>0.11694851747415443</v>
      </c>
      <c r="L78" s="16">
        <v>0.10442530913416992</v>
      </c>
      <c r="M78" s="16">
        <v>0.21893426248696216</v>
      </c>
      <c r="N78" s="16">
        <v>-0.36903105590262836</v>
      </c>
      <c r="O78" s="16">
        <v>-1.3447444369367792E-3</v>
      </c>
      <c r="P78" s="16">
        <v>-9.2362925964433615E-2</v>
      </c>
      <c r="Q78" s="16">
        <v>1</v>
      </c>
      <c r="R78" s="16"/>
      <c r="S78" s="16"/>
      <c r="T78" s="16"/>
      <c r="U78" s="16"/>
      <c r="V78" s="16"/>
      <c r="W78" s="16"/>
      <c r="X78" s="16"/>
      <c r="Y78" s="16"/>
      <c r="Z78" s="16"/>
      <c r="AA78" s="4"/>
    </row>
    <row r="79" spans="1:27" x14ac:dyDescent="0.35">
      <c r="A79" t="s">
        <v>16</v>
      </c>
      <c r="B79" s="16">
        <v>6.8351418447714127E-2</v>
      </c>
      <c r="C79" s="16">
        <v>0.21023793447420255</v>
      </c>
      <c r="D79" s="16">
        <v>2.6464675147531397E-2</v>
      </c>
      <c r="E79" s="16">
        <v>-7.9837969398287897E-2</v>
      </c>
      <c r="F79" s="16">
        <v>-2.5359205905531465E-2</v>
      </c>
      <c r="G79" s="16">
        <v>0.18432457804574215</v>
      </c>
      <c r="H79" s="16">
        <v>-9.3578191532960903E-2</v>
      </c>
      <c r="I79" s="16">
        <v>0.18386324154762645</v>
      </c>
      <c r="J79" s="16">
        <v>0.16091181642719507</v>
      </c>
      <c r="K79" s="16">
        <v>-9.410982701828538E-2</v>
      </c>
      <c r="L79" s="16">
        <v>-4.1530687291200241E-2</v>
      </c>
      <c r="M79" s="16">
        <v>-5.7086341177415886E-2</v>
      </c>
      <c r="N79" s="16">
        <v>4.6651055451471884E-2</v>
      </c>
      <c r="O79" s="16">
        <v>-0.10423193795174406</v>
      </c>
      <c r="P79" s="16">
        <v>2.404444763239413E-2</v>
      </c>
      <c r="Q79" s="16">
        <v>0.33779885495650175</v>
      </c>
      <c r="R79" s="16">
        <v>1</v>
      </c>
      <c r="S79" s="16"/>
      <c r="T79" s="16"/>
      <c r="U79" s="16"/>
      <c r="V79" s="16"/>
      <c r="W79" s="16"/>
      <c r="X79" s="16"/>
      <c r="Y79" s="16"/>
      <c r="Z79" s="16"/>
      <c r="AA79" s="4"/>
    </row>
    <row r="80" spans="1:27" x14ac:dyDescent="0.35">
      <c r="A80" t="s">
        <v>17</v>
      </c>
      <c r="B80" s="16">
        <v>3.6409162733349251E-2</v>
      </c>
      <c r="C80" s="16">
        <v>0.29555661338313377</v>
      </c>
      <c r="D80" s="16">
        <v>0.23112601882360365</v>
      </c>
      <c r="E80" s="16">
        <v>5.6838309305449752E-2</v>
      </c>
      <c r="F80" s="16">
        <v>8.8414707851986657E-2</v>
      </c>
      <c r="G80" s="16">
        <v>0.23656544153712802</v>
      </c>
      <c r="H80" s="16">
        <v>5.0683163214357875E-2</v>
      </c>
      <c r="I80" s="16">
        <v>0.13041659011160023</v>
      </c>
      <c r="J80" s="16">
        <v>0.1711160006929538</v>
      </c>
      <c r="K80" s="16">
        <v>-6.4548145751947936E-2</v>
      </c>
      <c r="L80" s="16">
        <v>-0.23816742128419333</v>
      </c>
      <c r="M80" s="16">
        <v>0.10156593804913971</v>
      </c>
      <c r="N80" s="16">
        <v>6.6661846319008414E-2</v>
      </c>
      <c r="O80" s="16">
        <v>-0.10124100088772611</v>
      </c>
      <c r="P80" s="16">
        <v>0.17323981304589314</v>
      </c>
      <c r="Q80" s="16">
        <v>0.45960334068907382</v>
      </c>
      <c r="R80" s="16">
        <v>0.22237989326736696</v>
      </c>
      <c r="S80" s="16">
        <v>1</v>
      </c>
      <c r="T80" s="16"/>
      <c r="U80" s="16"/>
      <c r="V80" s="16"/>
      <c r="W80" s="16"/>
      <c r="X80" s="16"/>
      <c r="Y80" s="16"/>
      <c r="Z80" s="16"/>
      <c r="AA80" s="4"/>
    </row>
    <row r="81" spans="1:27" x14ac:dyDescent="0.35">
      <c r="A81" t="s">
        <v>18</v>
      </c>
      <c r="B81" s="16">
        <v>0.65771801589672574</v>
      </c>
      <c r="C81" s="16">
        <v>-0.12457536758289793</v>
      </c>
      <c r="D81" s="16">
        <v>0.11550207155837554</v>
      </c>
      <c r="E81" s="16">
        <v>0.40269534588443623</v>
      </c>
      <c r="F81" s="16">
        <v>0.6195870303925517</v>
      </c>
      <c r="G81" s="16">
        <v>0.48762457335092507</v>
      </c>
      <c r="H81" s="16">
        <v>0.48194428790059857</v>
      </c>
      <c r="I81" s="16">
        <v>0.45414345649739735</v>
      </c>
      <c r="J81" s="16">
        <v>0.6868602128719038</v>
      </c>
      <c r="K81" s="16">
        <v>0.55653211312312945</v>
      </c>
      <c r="L81" s="16">
        <v>-0.21027423998008468</v>
      </c>
      <c r="M81" s="16">
        <v>7.6426021494028509E-2</v>
      </c>
      <c r="N81" s="16">
        <v>0.37308639822417489</v>
      </c>
      <c r="O81" s="16">
        <v>0.22588622769472924</v>
      </c>
      <c r="P81" s="16">
        <v>0.81287979849836145</v>
      </c>
      <c r="Q81" s="16">
        <v>6.015265123912443E-2</v>
      </c>
      <c r="R81" s="16">
        <v>6.2875253459685363E-3</v>
      </c>
      <c r="S81" s="16">
        <v>0.18120610034290202</v>
      </c>
      <c r="T81" s="16">
        <v>1</v>
      </c>
      <c r="U81" s="16"/>
      <c r="V81" s="16"/>
      <c r="W81" s="16"/>
      <c r="X81" s="16"/>
      <c r="Y81" s="16"/>
      <c r="Z81" s="16"/>
      <c r="AA81" s="4"/>
    </row>
    <row r="82" spans="1:27" x14ac:dyDescent="0.35">
      <c r="A82" t="s">
        <v>33</v>
      </c>
      <c r="B82" s="16">
        <v>0.23861843800159949</v>
      </c>
      <c r="C82" s="16">
        <v>6.341350866182982E-2</v>
      </c>
      <c r="D82" s="16">
        <v>8.2065653759889501E-2</v>
      </c>
      <c r="E82" s="16">
        <v>0.90002711873848462</v>
      </c>
      <c r="F82" s="16">
        <v>0.89136706992415393</v>
      </c>
      <c r="G82" s="16">
        <v>0.13058900664034559</v>
      </c>
      <c r="H82" s="16">
        <v>0.36669666337710194</v>
      </c>
      <c r="I82" s="16">
        <v>0.43069060441296952</v>
      </c>
      <c r="J82" s="16">
        <v>0.22490072146284776</v>
      </c>
      <c r="K82" s="16">
        <v>0.19254420630831109</v>
      </c>
      <c r="L82" s="16">
        <v>4.2164268535771092E-2</v>
      </c>
      <c r="M82" s="16">
        <v>-0.27837921871134363</v>
      </c>
      <c r="N82" s="16">
        <v>1.5217520816300066E-2</v>
      </c>
      <c r="O82" s="16">
        <v>-4.9351452868237541E-2</v>
      </c>
      <c r="P82" s="16">
        <v>0.12098082405468914</v>
      </c>
      <c r="Q82" s="16">
        <v>4.0738930020094065E-2</v>
      </c>
      <c r="R82" s="16">
        <v>-3.5308838528637129E-2</v>
      </c>
      <c r="S82" s="16">
        <v>5.8014440194788432E-3</v>
      </c>
      <c r="T82" s="16">
        <v>0.19648560593798595</v>
      </c>
      <c r="U82" s="16">
        <v>1</v>
      </c>
      <c r="V82" s="16"/>
      <c r="W82" s="16"/>
      <c r="X82" s="16"/>
      <c r="Y82" s="16"/>
      <c r="Z82" s="16"/>
      <c r="AA82" s="4"/>
    </row>
    <row r="83" spans="1:27" x14ac:dyDescent="0.35">
      <c r="A83" t="s">
        <v>38</v>
      </c>
      <c r="B83" s="19">
        <v>0.74559904448001257</v>
      </c>
      <c r="C83" s="16">
        <v>-1.7498185027096682E-2</v>
      </c>
      <c r="D83" s="16">
        <v>0.27955345242035601</v>
      </c>
      <c r="E83" s="16">
        <v>0.21079050531884561</v>
      </c>
      <c r="F83" s="16">
        <v>0.49806700788926006</v>
      </c>
      <c r="G83" s="16">
        <v>0.49950754629899785</v>
      </c>
      <c r="H83" s="16">
        <v>0.51451856637832383</v>
      </c>
      <c r="I83" s="16">
        <v>0.18498717121616784</v>
      </c>
      <c r="J83" s="16">
        <v>0.8701006516617501</v>
      </c>
      <c r="K83" s="16">
        <v>1.9707383153572285E-2</v>
      </c>
      <c r="L83" s="16">
        <v>-0.56554819971647374</v>
      </c>
      <c r="M83" s="16">
        <v>-0.18660050435482395</v>
      </c>
      <c r="N83" s="16">
        <v>0.55172461982199195</v>
      </c>
      <c r="O83" s="16">
        <v>0.42183351309929312</v>
      </c>
      <c r="P83" s="16">
        <v>0.98387315541893172</v>
      </c>
      <c r="Q83" s="16">
        <v>-5.9113965333007612E-2</v>
      </c>
      <c r="R83" s="16">
        <v>6.033621037223616E-2</v>
      </c>
      <c r="S83" s="16">
        <v>0.23863150221237539</v>
      </c>
      <c r="T83" s="19">
        <v>0.82188264873515693</v>
      </c>
      <c r="U83" s="16">
        <v>0.14754637151263936</v>
      </c>
      <c r="V83" s="16">
        <v>1</v>
      </c>
      <c r="W83" s="16"/>
      <c r="X83" s="16"/>
      <c r="Y83" s="16"/>
      <c r="Z83" s="16"/>
      <c r="AA83" s="4"/>
    </row>
    <row r="84" spans="1:27" x14ac:dyDescent="0.35">
      <c r="A84" t="s">
        <v>32</v>
      </c>
      <c r="B84" s="16">
        <v>0.96557452556226508</v>
      </c>
      <c r="C84" s="16">
        <v>-0.13509858472722522</v>
      </c>
      <c r="D84" s="16">
        <v>0.27391683965038338</v>
      </c>
      <c r="E84" s="16">
        <v>-5.7420199175547953E-3</v>
      </c>
      <c r="F84" s="16">
        <v>0.39270616087352062</v>
      </c>
      <c r="G84" s="16">
        <v>0.23345085138114646</v>
      </c>
      <c r="H84" s="16">
        <v>9.5763163419087097E-2</v>
      </c>
      <c r="I84" s="16">
        <v>5.9860243112859438E-2</v>
      </c>
      <c r="J84" s="16">
        <v>0.75926614452143226</v>
      </c>
      <c r="K84" s="16">
        <v>0.10965835091686084</v>
      </c>
      <c r="L84" s="16">
        <v>-0.3411092104363358</v>
      </c>
      <c r="M84" s="16">
        <v>-4.9071739398668095E-2</v>
      </c>
      <c r="N84" s="16">
        <v>0.28052447840583733</v>
      </c>
      <c r="O84" s="16">
        <v>0.43235006047613656</v>
      </c>
      <c r="P84" s="16">
        <v>0.64942785654235824</v>
      </c>
      <c r="Q84" s="16">
        <v>-0.12387950523036613</v>
      </c>
      <c r="R84" s="16">
        <v>8.7021056554189194E-2</v>
      </c>
      <c r="S84" s="16">
        <v>1.9986627336397139E-2</v>
      </c>
      <c r="T84" s="16">
        <v>0.58701751016622294</v>
      </c>
      <c r="U84" s="16">
        <v>0.15156351432042459</v>
      </c>
      <c r="V84" s="16">
        <v>0.64655291247134516</v>
      </c>
      <c r="W84" s="16">
        <v>1</v>
      </c>
      <c r="X84" s="16"/>
      <c r="Y84" s="16"/>
      <c r="Z84" s="16"/>
      <c r="AA84" s="4"/>
    </row>
    <row r="85" spans="1:27" x14ac:dyDescent="0.35">
      <c r="A85" t="s">
        <v>50</v>
      </c>
      <c r="B85" s="16">
        <v>-4.3075000949424125E-2</v>
      </c>
      <c r="C85" s="16">
        <v>7.1452719006968507E-2</v>
      </c>
      <c r="D85" s="16">
        <v>8.5390215713136583E-2</v>
      </c>
      <c r="E85" s="16">
        <v>0.23939313383112129</v>
      </c>
      <c r="F85" s="16">
        <v>0.19684429681468071</v>
      </c>
      <c r="G85" s="16">
        <v>0.37586015831838238</v>
      </c>
      <c r="H85" s="16">
        <v>0.53080034002067489</v>
      </c>
      <c r="I85" s="16">
        <v>0.14452765112143368</v>
      </c>
      <c r="J85" s="16">
        <v>0.34284451446517983</v>
      </c>
      <c r="K85" s="16">
        <v>-0.12136922138298488</v>
      </c>
      <c r="L85" s="16">
        <v>-0.39356306361370652</v>
      </c>
      <c r="M85" s="16">
        <v>-0.19031013425710766</v>
      </c>
      <c r="N85" s="16">
        <v>0.37729630301019657</v>
      </c>
      <c r="O85" s="16">
        <v>0.10244115223139467</v>
      </c>
      <c r="P85" s="16">
        <v>0.58593172336036647</v>
      </c>
      <c r="Q85" s="16">
        <v>4.6059254543691509E-2</v>
      </c>
      <c r="R85" s="16">
        <v>1.8153598642606714E-3</v>
      </c>
      <c r="S85" s="16">
        <v>0.24626941060844765</v>
      </c>
      <c r="T85" s="16">
        <v>0.41875093863825213</v>
      </c>
      <c r="U85" s="16">
        <v>4.0701949195443843E-3</v>
      </c>
      <c r="V85" s="16">
        <v>0.60375472963011889</v>
      </c>
      <c r="W85" s="16">
        <v>-0.19824187464869164</v>
      </c>
      <c r="X85" s="16">
        <v>1</v>
      </c>
      <c r="Y85" s="16"/>
      <c r="Z85" s="16"/>
      <c r="AA85" s="4"/>
    </row>
    <row r="86" spans="1:27" x14ac:dyDescent="0.35">
      <c r="A86" t="s">
        <v>34</v>
      </c>
      <c r="B86" s="16">
        <v>1.2584202162733663E-2</v>
      </c>
      <c r="C86" s="16">
        <v>3.8226939589926706E-2</v>
      </c>
      <c r="D86" s="16">
        <v>-0.13053758401855103</v>
      </c>
      <c r="E86" s="16">
        <v>-0.11335142848135259</v>
      </c>
      <c r="F86" s="16">
        <v>-9.1890627654701504E-2</v>
      </c>
      <c r="G86" s="16">
        <v>-0.24289773327376893</v>
      </c>
      <c r="H86" s="16">
        <v>-0.26239316652148131</v>
      </c>
      <c r="I86" s="16">
        <v>-8.7492861695434271E-2</v>
      </c>
      <c r="J86" s="16">
        <v>-0.33558746792117283</v>
      </c>
      <c r="K86" s="16">
        <v>0.14756243685638101</v>
      </c>
      <c r="L86" s="16">
        <v>0.35189128437250494</v>
      </c>
      <c r="M86" s="16">
        <v>0.16294583806010485</v>
      </c>
      <c r="N86" s="16">
        <v>-0.24491410440406974</v>
      </c>
      <c r="O86" s="16">
        <v>-0.11519260620670022</v>
      </c>
      <c r="P86" s="16">
        <v>-0.65444492678489108</v>
      </c>
      <c r="Q86" s="16">
        <v>-4.0167666240499306E-2</v>
      </c>
      <c r="R86" s="16">
        <v>-2.4623936730906446E-2</v>
      </c>
      <c r="S86" s="16">
        <v>-0.18264701660928684</v>
      </c>
      <c r="T86" s="16">
        <v>-0.43052648798852639</v>
      </c>
      <c r="U86" s="16">
        <v>0.13383471901824581</v>
      </c>
      <c r="V86" s="19">
        <v>-0.62142869349323759</v>
      </c>
      <c r="W86" s="16">
        <v>8.8408102675415157E-2</v>
      </c>
      <c r="X86" s="16">
        <v>-0.9115935249769973</v>
      </c>
      <c r="Y86" s="16">
        <v>1</v>
      </c>
      <c r="Z86" s="16"/>
      <c r="AA86" s="4"/>
    </row>
    <row r="87" spans="1:27" ht="15" thickBot="1" x14ac:dyDescent="0.4">
      <c r="A87" s="14" t="s">
        <v>75</v>
      </c>
      <c r="B87" s="17">
        <v>0.39804243705183484</v>
      </c>
      <c r="C87" s="17">
        <v>0.16788536549294628</v>
      </c>
      <c r="D87" s="17">
        <v>0.15120047095141737</v>
      </c>
      <c r="E87" s="17">
        <v>0.60460087433982368</v>
      </c>
      <c r="F87" s="20">
        <v>0.70857787696525976</v>
      </c>
      <c r="G87" s="17">
        <v>0.11596436583486604</v>
      </c>
      <c r="H87" s="17">
        <v>0.2310596667420742</v>
      </c>
      <c r="I87" s="17">
        <v>0.18086466566951814</v>
      </c>
      <c r="J87" s="17">
        <v>0.23248811932361577</v>
      </c>
      <c r="K87" s="17">
        <v>2.9619801954020437E-2</v>
      </c>
      <c r="L87" s="17">
        <v>-3.7862071465395677E-2</v>
      </c>
      <c r="M87" s="17">
        <v>-0.29715875338174541</v>
      </c>
      <c r="N87" s="17">
        <v>3.2786833784961271E-2</v>
      </c>
      <c r="O87" s="17">
        <v>6.5377221937315558E-2</v>
      </c>
      <c r="P87" s="17">
        <v>2.6339247280428101E-2</v>
      </c>
      <c r="Q87" s="17">
        <v>-7.3039019764588042E-3</v>
      </c>
      <c r="R87" s="17">
        <v>2.3481432800807871E-2</v>
      </c>
      <c r="S87" s="17">
        <v>1.5043809578482375E-2</v>
      </c>
      <c r="T87" s="17">
        <v>2.8362550294306954E-2</v>
      </c>
      <c r="U87" s="17">
        <v>0.8687537619592407</v>
      </c>
      <c r="V87" s="17">
        <v>6.892800106653349E-2</v>
      </c>
      <c r="W87" s="17">
        <v>0.34903901082235411</v>
      </c>
      <c r="X87" s="17">
        <v>-0.32284463153253595</v>
      </c>
      <c r="Y87" s="17">
        <v>0.43752145328037251</v>
      </c>
      <c r="Z87" s="17">
        <v>1</v>
      </c>
      <c r="AA87" s="4"/>
    </row>
    <row r="88" spans="1:27" ht="15" thickBot="1" x14ac:dyDescent="0.4">
      <c r="A88" s="14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</row>
    <row r="91" spans="1:27" ht="15" thickBot="1" x14ac:dyDescent="0.4"/>
    <row r="92" spans="1:27" x14ac:dyDescent="0.35">
      <c r="A92" s="15"/>
      <c r="B92" s="15" t="s">
        <v>0</v>
      </c>
      <c r="C92" s="15" t="s">
        <v>1</v>
      </c>
      <c r="D92" s="15" t="s">
        <v>2</v>
      </c>
      <c r="E92" s="15" t="s">
        <v>3</v>
      </c>
      <c r="F92" s="15" t="s">
        <v>4</v>
      </c>
      <c r="G92" s="15" t="s">
        <v>5</v>
      </c>
      <c r="H92" s="15" t="s">
        <v>6</v>
      </c>
      <c r="I92" s="15" t="s">
        <v>7</v>
      </c>
      <c r="J92" s="15" t="s">
        <v>8</v>
      </c>
      <c r="K92" s="15" t="s">
        <v>9</v>
      </c>
      <c r="L92" s="15" t="s">
        <v>10</v>
      </c>
      <c r="M92" s="15" t="s">
        <v>11</v>
      </c>
      <c r="N92" s="15" t="s">
        <v>12</v>
      </c>
      <c r="O92" s="15" t="s">
        <v>13</v>
      </c>
      <c r="P92" s="15" t="s">
        <v>14</v>
      </c>
      <c r="Q92" s="15" t="s">
        <v>15</v>
      </c>
      <c r="R92" s="15" t="s">
        <v>16</v>
      </c>
      <c r="S92" s="15" t="s">
        <v>17</v>
      </c>
      <c r="T92" s="15" t="s">
        <v>18</v>
      </c>
      <c r="U92" s="15" t="s">
        <v>33</v>
      </c>
      <c r="V92" s="15" t="s">
        <v>38</v>
      </c>
      <c r="W92" s="15" t="s">
        <v>32</v>
      </c>
      <c r="X92" s="15" t="s">
        <v>50</v>
      </c>
      <c r="Y92" s="15" t="s">
        <v>34</v>
      </c>
      <c r="Z92" s="15" t="s">
        <v>75</v>
      </c>
      <c r="AA92" s="15" t="s">
        <v>87</v>
      </c>
    </row>
    <row r="93" spans="1:27" x14ac:dyDescent="0.35">
      <c r="A93" t="s">
        <v>0</v>
      </c>
      <c r="B93">
        <v>1</v>
      </c>
    </row>
    <row r="94" spans="1:27" x14ac:dyDescent="0.35">
      <c r="A94" t="s">
        <v>1</v>
      </c>
      <c r="B94">
        <v>-7.4553949242614159E-2</v>
      </c>
      <c r="C94">
        <v>1</v>
      </c>
    </row>
    <row r="95" spans="1:27" x14ac:dyDescent="0.35">
      <c r="A95" t="s">
        <v>2</v>
      </c>
      <c r="B95">
        <v>0.26378190326159667</v>
      </c>
      <c r="C95">
        <v>0.11383808869515082</v>
      </c>
      <c r="D95">
        <v>1</v>
      </c>
    </row>
    <row r="96" spans="1:27" x14ac:dyDescent="0.35">
      <c r="A96" t="s">
        <v>3</v>
      </c>
      <c r="B96">
        <v>8.9944311991003861E-2</v>
      </c>
      <c r="C96">
        <v>-5.7078412712209634E-2</v>
      </c>
      <c r="D96">
        <v>-8.922676841044223E-3</v>
      </c>
      <c r="E96">
        <v>1</v>
      </c>
    </row>
    <row r="97" spans="1:21" x14ac:dyDescent="0.35">
      <c r="A97" t="s">
        <v>4</v>
      </c>
      <c r="B97">
        <v>0.49508090602769139</v>
      </c>
      <c r="C97">
        <v>-6.8258171032119222E-3</v>
      </c>
      <c r="D97">
        <v>0.1190921570521848</v>
      </c>
      <c r="E97">
        <v>0.90666496916052353</v>
      </c>
      <c r="F97">
        <v>1</v>
      </c>
    </row>
    <row r="98" spans="1:21" x14ac:dyDescent="0.35">
      <c r="A98" t="s">
        <v>5</v>
      </c>
      <c r="B98">
        <v>0.35242370393750849</v>
      </c>
      <c r="C98">
        <v>0.11271619051003967</v>
      </c>
      <c r="D98">
        <v>-1.8018607545447277E-2</v>
      </c>
      <c r="E98">
        <v>0.19906872156902825</v>
      </c>
      <c r="F98">
        <v>0.32996663501017859</v>
      </c>
      <c r="G98">
        <v>1</v>
      </c>
    </row>
    <row r="99" spans="1:21" x14ac:dyDescent="0.35">
      <c r="A99" t="s">
        <v>6</v>
      </c>
      <c r="B99">
        <v>0.31522944250381424</v>
      </c>
      <c r="C99">
        <v>0.1235828802799681</v>
      </c>
      <c r="D99">
        <v>-0.10834685108747498</v>
      </c>
      <c r="E99">
        <v>0.43030914749874399</v>
      </c>
      <c r="F99">
        <v>0.51635264216746179</v>
      </c>
      <c r="G99">
        <v>0.58212820631066087</v>
      </c>
      <c r="H99">
        <v>1</v>
      </c>
    </row>
    <row r="100" spans="1:21" x14ac:dyDescent="0.35">
      <c r="A100" t="s">
        <v>7</v>
      </c>
      <c r="B100">
        <v>9.013254150765268E-2</v>
      </c>
      <c r="C100">
        <v>-8.0576291472380365E-2</v>
      </c>
      <c r="D100">
        <v>-6.5860329169866338E-2</v>
      </c>
      <c r="E100">
        <v>0.59932727849044609</v>
      </c>
      <c r="F100">
        <v>0.5547297504429255</v>
      </c>
      <c r="G100">
        <v>0.1669152970160285</v>
      </c>
      <c r="H100">
        <v>0.24523689041863528</v>
      </c>
      <c r="I100">
        <v>1</v>
      </c>
    </row>
    <row r="101" spans="1:21" x14ac:dyDescent="0.35">
      <c r="A101" t="s">
        <v>8</v>
      </c>
      <c r="B101">
        <v>0.82599004418648792</v>
      </c>
      <c r="C101">
        <v>6.674020107551952E-2</v>
      </c>
      <c r="D101">
        <v>0.30316342497616811</v>
      </c>
      <c r="E101">
        <v>0.16426096719369226</v>
      </c>
      <c r="F101">
        <v>0.49757167900831584</v>
      </c>
      <c r="G101">
        <v>0.42199699772640042</v>
      </c>
      <c r="H101">
        <v>0.4196441301073261</v>
      </c>
      <c r="I101">
        <v>0.13280915859901291</v>
      </c>
      <c r="J101">
        <v>1</v>
      </c>
    </row>
    <row r="102" spans="1:21" x14ac:dyDescent="0.35">
      <c r="A102" t="s">
        <v>9</v>
      </c>
      <c r="B102">
        <v>0.10721851812474667</v>
      </c>
      <c r="C102">
        <v>-0.16173933612944658</v>
      </c>
      <c r="D102">
        <v>-0.19633665514644708</v>
      </c>
      <c r="E102">
        <v>0.43496221127318196</v>
      </c>
      <c r="F102">
        <v>0.41141934600898233</v>
      </c>
      <c r="G102">
        <v>0.22370513821889043</v>
      </c>
      <c r="H102">
        <v>0.19390533381031649</v>
      </c>
      <c r="I102">
        <v>0.4765573262356233</v>
      </c>
      <c r="J102">
        <v>-4.1611974058043552E-2</v>
      </c>
      <c r="K102">
        <v>1</v>
      </c>
    </row>
    <row r="103" spans="1:21" x14ac:dyDescent="0.35">
      <c r="A103" t="s">
        <v>10</v>
      </c>
      <c r="B103">
        <v>-0.43979297452589489</v>
      </c>
      <c r="C103">
        <v>-0.12640762599337241</v>
      </c>
      <c r="D103">
        <v>-0.27231172956846483</v>
      </c>
      <c r="E103">
        <v>0.15191044549822338</v>
      </c>
      <c r="F103">
        <v>-6.3454593986289221E-2</v>
      </c>
      <c r="G103">
        <v>-0.18663726656716706</v>
      </c>
      <c r="H103">
        <v>-0.29267133492861813</v>
      </c>
      <c r="I103">
        <v>0.23433318076832255</v>
      </c>
      <c r="J103">
        <v>-0.47464863952409753</v>
      </c>
      <c r="K103">
        <v>0.36571669935047862</v>
      </c>
      <c r="L103">
        <v>1</v>
      </c>
    </row>
    <row r="104" spans="1:21" x14ac:dyDescent="0.35">
      <c r="A104" t="s">
        <v>11</v>
      </c>
      <c r="B104">
        <v>-9.0558806590378071E-2</v>
      </c>
      <c r="C104">
        <v>-0.10208549758374409</v>
      </c>
      <c r="D104">
        <v>-8.1841787812562197E-2</v>
      </c>
      <c r="E104">
        <v>-0.1618926824890641</v>
      </c>
      <c r="F104">
        <v>-0.18752047034539318</v>
      </c>
      <c r="G104">
        <v>-0.28783465321950275</v>
      </c>
      <c r="H104">
        <v>-0.26589959860287171</v>
      </c>
      <c r="I104">
        <v>2.8468524061835069E-3</v>
      </c>
      <c r="J104">
        <v>-0.18064085499909058</v>
      </c>
      <c r="K104">
        <v>0.16160088512356957</v>
      </c>
      <c r="L104">
        <v>2.6971946969709629E-2</v>
      </c>
      <c r="M104">
        <v>1</v>
      </c>
    </row>
    <row r="105" spans="1:21" x14ac:dyDescent="0.35">
      <c r="A105" t="s">
        <v>12</v>
      </c>
      <c r="B105">
        <v>0.42628101010459818</v>
      </c>
      <c r="C105">
        <v>4.1970517590509092E-2</v>
      </c>
      <c r="D105">
        <v>1.5194127463945988E-2</v>
      </c>
      <c r="E105">
        <v>2.7809944192976801E-3</v>
      </c>
      <c r="F105">
        <v>0.18465766405025238</v>
      </c>
      <c r="G105">
        <v>0.47208528504420055</v>
      </c>
      <c r="H105">
        <v>0.53713526174635273</v>
      </c>
      <c r="I105">
        <v>-8.360071108232682E-2</v>
      </c>
      <c r="J105">
        <v>0.54838629359363855</v>
      </c>
      <c r="K105">
        <v>-8.6532481092180868E-2</v>
      </c>
      <c r="L105">
        <v>-0.50459464485590377</v>
      </c>
      <c r="M105">
        <v>-0.12998630537052294</v>
      </c>
      <c r="N105">
        <v>1</v>
      </c>
    </row>
    <row r="106" spans="1:21" x14ac:dyDescent="0.35">
      <c r="A106" t="s">
        <v>13</v>
      </c>
      <c r="B106">
        <v>0.46258443220722129</v>
      </c>
      <c r="C106">
        <v>8.6789975326649949E-2</v>
      </c>
      <c r="D106">
        <v>8.6915159729620606E-2</v>
      </c>
      <c r="E106">
        <v>-0.1562209652336975</v>
      </c>
      <c r="F106">
        <v>6.4918341290275919E-2</v>
      </c>
      <c r="G106">
        <v>0.16852001379868389</v>
      </c>
      <c r="H106">
        <v>0.10692218554072713</v>
      </c>
      <c r="I106">
        <v>-0.21977910455126876</v>
      </c>
      <c r="J106">
        <v>0.43693812633305429</v>
      </c>
      <c r="K106">
        <v>-0.23679523088382309</v>
      </c>
      <c r="L106">
        <v>-0.19640009590734234</v>
      </c>
      <c r="M106">
        <v>-0.10222568134964082</v>
      </c>
      <c r="N106">
        <v>0.21790017226052677</v>
      </c>
      <c r="O106">
        <v>1</v>
      </c>
    </row>
    <row r="107" spans="1:21" x14ac:dyDescent="0.35">
      <c r="A107" t="s">
        <v>14</v>
      </c>
      <c r="B107">
        <v>0.725529058276981</v>
      </c>
      <c r="C107">
        <v>-0.10026881485039005</v>
      </c>
      <c r="D107">
        <v>0.29588134567822005</v>
      </c>
      <c r="E107">
        <v>0.19813855580979978</v>
      </c>
      <c r="F107">
        <v>0.47263844875846195</v>
      </c>
      <c r="G107">
        <v>0.39308144485352703</v>
      </c>
      <c r="H107">
        <v>0.43029422399042128</v>
      </c>
      <c r="I107">
        <v>0.18622170189850315</v>
      </c>
      <c r="J107">
        <v>0.82500861301770478</v>
      </c>
      <c r="K107">
        <v>2.0966500407021017E-2</v>
      </c>
      <c r="L107">
        <v>-0.5502350046653014</v>
      </c>
      <c r="M107">
        <v>-0.16844362669500171</v>
      </c>
      <c r="N107">
        <v>0.46877228957404804</v>
      </c>
      <c r="O107">
        <v>0.36630784812286027</v>
      </c>
      <c r="P107">
        <v>1</v>
      </c>
    </row>
    <row r="108" spans="1:21" x14ac:dyDescent="0.35">
      <c r="A108" t="s">
        <v>15</v>
      </c>
      <c r="B108">
        <v>-0.16578522437469939</v>
      </c>
      <c r="C108">
        <v>0.48377829035847175</v>
      </c>
      <c r="D108">
        <v>0.17248498023825767</v>
      </c>
      <c r="E108">
        <v>0.10672005898428011</v>
      </c>
      <c r="F108">
        <v>6.0421056382393611E-2</v>
      </c>
      <c r="G108">
        <v>-6.8375641597231501E-2</v>
      </c>
      <c r="H108">
        <v>-0.30236329088346736</v>
      </c>
      <c r="I108">
        <v>0.25543508572672441</v>
      </c>
      <c r="J108">
        <v>-5.2844981921285634E-3</v>
      </c>
      <c r="K108">
        <v>0.11694851747415443</v>
      </c>
      <c r="L108">
        <v>0.10442530913416992</v>
      </c>
      <c r="M108">
        <v>0.21893426248696216</v>
      </c>
      <c r="N108">
        <v>-0.36903105590262836</v>
      </c>
      <c r="O108">
        <v>-1.3447444369367792E-3</v>
      </c>
      <c r="P108">
        <v>-9.2362925964433615E-2</v>
      </c>
      <c r="Q108">
        <v>1</v>
      </c>
    </row>
    <row r="109" spans="1:21" x14ac:dyDescent="0.35">
      <c r="A109" t="s">
        <v>16</v>
      </c>
      <c r="B109">
        <v>6.8351418447714127E-2</v>
      </c>
      <c r="C109">
        <v>0.21023793447420255</v>
      </c>
      <c r="D109">
        <v>2.6464675147531397E-2</v>
      </c>
      <c r="E109">
        <v>-7.9837969398287897E-2</v>
      </c>
      <c r="F109">
        <v>-2.5359205905531465E-2</v>
      </c>
      <c r="G109">
        <v>0.18432457804574215</v>
      </c>
      <c r="H109">
        <v>-9.3578191532960903E-2</v>
      </c>
      <c r="I109">
        <v>0.18386324154762645</v>
      </c>
      <c r="J109">
        <v>0.16091181642719507</v>
      </c>
      <c r="K109">
        <v>-9.410982701828538E-2</v>
      </c>
      <c r="L109">
        <v>-4.1530687291200241E-2</v>
      </c>
      <c r="M109">
        <v>-5.7086341177415886E-2</v>
      </c>
      <c r="N109">
        <v>4.6651055451471884E-2</v>
      </c>
      <c r="O109">
        <v>-0.10423193795174406</v>
      </c>
      <c r="P109">
        <v>2.404444763239413E-2</v>
      </c>
      <c r="Q109">
        <v>0.33779885495650175</v>
      </c>
      <c r="R109">
        <v>1</v>
      </c>
    </row>
    <row r="110" spans="1:21" x14ac:dyDescent="0.35">
      <c r="A110" t="s">
        <v>17</v>
      </c>
      <c r="B110">
        <v>3.6409162733349251E-2</v>
      </c>
      <c r="C110">
        <v>0.29555661338313377</v>
      </c>
      <c r="D110">
        <v>0.23112601882360365</v>
      </c>
      <c r="E110">
        <v>5.6838309305449752E-2</v>
      </c>
      <c r="F110">
        <v>8.8414707851986657E-2</v>
      </c>
      <c r="G110">
        <v>0.23656544153712802</v>
      </c>
      <c r="H110">
        <v>5.0683163214357875E-2</v>
      </c>
      <c r="I110">
        <v>0.13041659011160023</v>
      </c>
      <c r="J110">
        <v>0.1711160006929538</v>
      </c>
      <c r="K110">
        <v>-6.4548145751947936E-2</v>
      </c>
      <c r="L110">
        <v>-0.23816742128419333</v>
      </c>
      <c r="M110">
        <v>0.10156593804913971</v>
      </c>
      <c r="N110">
        <v>6.6661846319008414E-2</v>
      </c>
      <c r="O110">
        <v>-0.10124100088772611</v>
      </c>
      <c r="P110">
        <v>0.17323981304589314</v>
      </c>
      <c r="Q110">
        <v>0.45960334068907382</v>
      </c>
      <c r="R110">
        <v>0.22237989326736696</v>
      </c>
      <c r="S110">
        <v>1</v>
      </c>
    </row>
    <row r="111" spans="1:21" x14ac:dyDescent="0.35">
      <c r="A111" t="s">
        <v>18</v>
      </c>
      <c r="B111">
        <v>0.65771801589672574</v>
      </c>
      <c r="C111">
        <v>-0.12457536758289793</v>
      </c>
      <c r="D111">
        <v>0.11550207155837554</v>
      </c>
      <c r="E111">
        <v>0.40269534588443623</v>
      </c>
      <c r="F111">
        <v>0.6195870303925517</v>
      </c>
      <c r="G111">
        <v>0.48762457335092507</v>
      </c>
      <c r="H111">
        <v>0.48194428790059857</v>
      </c>
      <c r="I111">
        <v>0.45414345649739735</v>
      </c>
      <c r="J111">
        <v>0.6868602128719038</v>
      </c>
      <c r="K111">
        <v>0.55653211312312945</v>
      </c>
      <c r="L111">
        <v>-0.21027423998008468</v>
      </c>
      <c r="M111">
        <v>7.6426021494028509E-2</v>
      </c>
      <c r="N111">
        <v>0.37308639822417489</v>
      </c>
      <c r="O111">
        <v>0.22588622769472924</v>
      </c>
      <c r="P111">
        <v>0.81287979849836145</v>
      </c>
      <c r="Q111">
        <v>6.015265123912443E-2</v>
      </c>
      <c r="R111">
        <v>6.2875253459685363E-3</v>
      </c>
      <c r="S111">
        <v>0.18120610034290202</v>
      </c>
      <c r="T111">
        <v>1</v>
      </c>
    </row>
    <row r="112" spans="1:21" x14ac:dyDescent="0.35">
      <c r="A112" t="s">
        <v>33</v>
      </c>
      <c r="B112">
        <v>0.23861843800159949</v>
      </c>
      <c r="C112">
        <v>6.341350866182982E-2</v>
      </c>
      <c r="D112">
        <v>8.2065653759889501E-2</v>
      </c>
      <c r="E112">
        <v>0.90002711873848462</v>
      </c>
      <c r="F112">
        <v>0.89136706992415393</v>
      </c>
      <c r="G112">
        <v>0.13058900664034559</v>
      </c>
      <c r="H112">
        <v>0.36669666337710194</v>
      </c>
      <c r="I112">
        <v>0.43069060441296952</v>
      </c>
      <c r="J112">
        <v>0.22490072146284776</v>
      </c>
      <c r="K112">
        <v>0.19254420630831109</v>
      </c>
      <c r="L112">
        <v>4.2164268535771092E-2</v>
      </c>
      <c r="M112">
        <v>-0.27837921871134363</v>
      </c>
      <c r="N112">
        <v>1.5217520816300066E-2</v>
      </c>
      <c r="O112">
        <v>-4.9351452868237541E-2</v>
      </c>
      <c r="P112">
        <v>0.12098082405468914</v>
      </c>
      <c r="Q112">
        <v>4.0738930020094065E-2</v>
      </c>
      <c r="R112">
        <v>-3.5308838528637129E-2</v>
      </c>
      <c r="S112">
        <v>5.8014440194788432E-3</v>
      </c>
      <c r="T112">
        <v>0.19648560593798595</v>
      </c>
      <c r="U112">
        <v>1</v>
      </c>
    </row>
    <row r="113" spans="1:27" x14ac:dyDescent="0.35">
      <c r="A113" t="s">
        <v>38</v>
      </c>
      <c r="B113">
        <v>0.74559904448001257</v>
      </c>
      <c r="C113">
        <v>-1.7498185027096682E-2</v>
      </c>
      <c r="D113">
        <v>0.27955345242035601</v>
      </c>
      <c r="E113">
        <v>0.21079050531884561</v>
      </c>
      <c r="F113">
        <v>0.49806700788926006</v>
      </c>
      <c r="G113">
        <v>0.49950754629899785</v>
      </c>
      <c r="H113">
        <v>0.51451856637832383</v>
      </c>
      <c r="I113">
        <v>0.18498717121616784</v>
      </c>
      <c r="J113">
        <v>0.8701006516617501</v>
      </c>
      <c r="K113">
        <v>1.9707383153572285E-2</v>
      </c>
      <c r="L113">
        <v>-0.56554819971647374</v>
      </c>
      <c r="M113">
        <v>-0.18660050435482395</v>
      </c>
      <c r="N113">
        <v>0.55172461982199195</v>
      </c>
      <c r="O113">
        <v>0.42183351309929312</v>
      </c>
      <c r="P113">
        <v>0.98387315541893172</v>
      </c>
      <c r="Q113">
        <v>-5.9113965333007612E-2</v>
      </c>
      <c r="R113">
        <v>6.033621037223616E-2</v>
      </c>
      <c r="S113">
        <v>0.23863150221237539</v>
      </c>
      <c r="T113">
        <v>0.82188264873515693</v>
      </c>
      <c r="U113">
        <v>0.14754637151263936</v>
      </c>
      <c r="V113">
        <v>1</v>
      </c>
    </row>
    <row r="114" spans="1:27" x14ac:dyDescent="0.35">
      <c r="A114" t="s">
        <v>32</v>
      </c>
      <c r="B114">
        <v>0.96557452556226508</v>
      </c>
      <c r="C114">
        <v>-0.13509858472722522</v>
      </c>
      <c r="D114">
        <v>0.27391683965038338</v>
      </c>
      <c r="E114">
        <v>-5.7420199175547953E-3</v>
      </c>
      <c r="F114">
        <v>0.39270616087352062</v>
      </c>
      <c r="G114">
        <v>0.23345085138114646</v>
      </c>
      <c r="H114">
        <v>9.5763163419087097E-2</v>
      </c>
      <c r="I114">
        <v>5.9860243112859438E-2</v>
      </c>
      <c r="J114">
        <v>0.75926614452143226</v>
      </c>
      <c r="K114">
        <v>0.10965835091686084</v>
      </c>
      <c r="L114">
        <v>-0.3411092104363358</v>
      </c>
      <c r="M114">
        <v>-4.9071739398668095E-2</v>
      </c>
      <c r="N114">
        <v>0.28052447840583733</v>
      </c>
      <c r="O114">
        <v>0.43235006047613656</v>
      </c>
      <c r="P114">
        <v>0.64942785654235824</v>
      </c>
      <c r="Q114">
        <v>-0.12387950523036613</v>
      </c>
      <c r="R114">
        <v>8.7021056554189194E-2</v>
      </c>
      <c r="S114">
        <v>1.9986627336397139E-2</v>
      </c>
      <c r="T114">
        <v>0.58701751016622294</v>
      </c>
      <c r="U114">
        <v>0.15156351432042459</v>
      </c>
      <c r="V114" s="3">
        <v>0.64655291247134516</v>
      </c>
      <c r="W114">
        <v>1</v>
      </c>
    </row>
    <row r="115" spans="1:27" x14ac:dyDescent="0.35">
      <c r="A115" t="s">
        <v>50</v>
      </c>
      <c r="B115">
        <v>-4.3075000949424125E-2</v>
      </c>
      <c r="C115">
        <v>7.1452719006968507E-2</v>
      </c>
      <c r="D115">
        <v>8.5390215713136583E-2</v>
      </c>
      <c r="E115">
        <v>0.23939313383112129</v>
      </c>
      <c r="F115">
        <v>0.19684429681468071</v>
      </c>
      <c r="G115">
        <v>0.37586015831838238</v>
      </c>
      <c r="H115">
        <v>0.53080034002067489</v>
      </c>
      <c r="I115">
        <v>0.14452765112143368</v>
      </c>
      <c r="J115">
        <v>0.34284451446517983</v>
      </c>
      <c r="K115">
        <v>-0.12136922138298488</v>
      </c>
      <c r="L115">
        <v>-0.39356306361370652</v>
      </c>
      <c r="M115">
        <v>-0.19031013425710766</v>
      </c>
      <c r="N115">
        <v>0.37729630301019657</v>
      </c>
      <c r="O115">
        <v>0.10244115223139467</v>
      </c>
      <c r="P115">
        <v>0.58593172336036647</v>
      </c>
      <c r="Q115">
        <v>4.6059254543691509E-2</v>
      </c>
      <c r="R115">
        <v>1.8153598642606714E-3</v>
      </c>
      <c r="S115">
        <v>0.24626941060844765</v>
      </c>
      <c r="T115">
        <v>0.41875093863825213</v>
      </c>
      <c r="U115">
        <v>4.0701949195443843E-3</v>
      </c>
      <c r="V115">
        <v>0.60375472963011889</v>
      </c>
      <c r="W115">
        <v>-0.19824187464869164</v>
      </c>
      <c r="X115">
        <v>1</v>
      </c>
    </row>
    <row r="116" spans="1:27" x14ac:dyDescent="0.35">
      <c r="A116" t="s">
        <v>34</v>
      </c>
      <c r="B116">
        <v>1.2584202162733663E-2</v>
      </c>
      <c r="C116">
        <v>3.8226939589926706E-2</v>
      </c>
      <c r="D116">
        <v>-0.13053758401855103</v>
      </c>
      <c r="E116">
        <v>-0.11335142848135259</v>
      </c>
      <c r="F116">
        <v>-9.1890627654701504E-2</v>
      </c>
      <c r="G116">
        <v>-0.24289773327376893</v>
      </c>
      <c r="H116">
        <v>-0.26239316652148131</v>
      </c>
      <c r="I116">
        <v>-8.7492861695434271E-2</v>
      </c>
      <c r="J116">
        <v>-0.33558746792117283</v>
      </c>
      <c r="K116">
        <v>0.14756243685638101</v>
      </c>
      <c r="L116">
        <v>0.35189128437250494</v>
      </c>
      <c r="M116">
        <v>0.16294583806010485</v>
      </c>
      <c r="N116">
        <v>-0.24491410440406974</v>
      </c>
      <c r="O116">
        <v>-0.11519260620670022</v>
      </c>
      <c r="P116">
        <v>-0.65444492678489108</v>
      </c>
      <c r="Q116">
        <v>-4.0167666240499306E-2</v>
      </c>
      <c r="R116">
        <v>-2.4623936730906446E-2</v>
      </c>
      <c r="S116">
        <v>-0.18264701660928684</v>
      </c>
      <c r="T116">
        <v>-0.43052648798852639</v>
      </c>
      <c r="U116">
        <v>0.13383471901824581</v>
      </c>
      <c r="V116">
        <v>-0.62142869349323759</v>
      </c>
      <c r="W116">
        <v>8.8408102675415157E-2</v>
      </c>
      <c r="X116">
        <v>-0.9115935249769973</v>
      </c>
      <c r="Y116">
        <v>1</v>
      </c>
    </row>
    <row r="117" spans="1:27" x14ac:dyDescent="0.35">
      <c r="A117" t="s">
        <v>75</v>
      </c>
      <c r="B117">
        <v>0.39804243705183484</v>
      </c>
      <c r="C117">
        <v>0.16788536549294628</v>
      </c>
      <c r="D117">
        <v>0.15120047095141737</v>
      </c>
      <c r="E117">
        <v>0.60460087433982368</v>
      </c>
      <c r="F117">
        <v>0.70857787696525976</v>
      </c>
      <c r="G117">
        <v>0.11596436583486604</v>
      </c>
      <c r="H117">
        <v>0.2310596667420742</v>
      </c>
      <c r="I117">
        <v>0.18086466566951814</v>
      </c>
      <c r="J117">
        <v>0.23248811932361577</v>
      </c>
      <c r="K117">
        <v>2.9619801954020437E-2</v>
      </c>
      <c r="L117">
        <v>-3.7862071465395677E-2</v>
      </c>
      <c r="M117">
        <v>-0.29715875338174541</v>
      </c>
      <c r="N117">
        <v>3.2786833784961271E-2</v>
      </c>
      <c r="O117">
        <v>6.5377221937315558E-2</v>
      </c>
      <c r="P117">
        <v>2.6339247280428101E-2</v>
      </c>
      <c r="Q117">
        <v>-7.3039019764588042E-3</v>
      </c>
      <c r="R117">
        <v>2.3481432800807871E-2</v>
      </c>
      <c r="S117">
        <v>1.5043809578482375E-2</v>
      </c>
      <c r="T117">
        <v>2.8362550294306954E-2</v>
      </c>
      <c r="U117">
        <v>0.8687537619592407</v>
      </c>
      <c r="V117">
        <v>6.892800106653349E-2</v>
      </c>
      <c r="W117">
        <v>0.34903901082235411</v>
      </c>
      <c r="X117">
        <v>-0.32284463153253595</v>
      </c>
      <c r="Y117">
        <v>0.43752145328037251</v>
      </c>
      <c r="Z117">
        <v>1</v>
      </c>
    </row>
    <row r="118" spans="1:27" ht="15" thickBot="1" x14ac:dyDescent="0.4">
      <c r="A118" s="14" t="s">
        <v>87</v>
      </c>
      <c r="B118" s="14">
        <v>0.42364277029478142</v>
      </c>
      <c r="C118" s="14">
        <v>0.1893091485599819</v>
      </c>
      <c r="D118" s="14">
        <v>2.4442672202484358E-2</v>
      </c>
      <c r="E118" s="14">
        <v>0.36270506087160276</v>
      </c>
      <c r="F118" s="14">
        <v>0.50871026677955478</v>
      </c>
      <c r="G118" s="14">
        <v>0.53559900779116409</v>
      </c>
      <c r="H118" s="14">
        <v>0.87703781014651683</v>
      </c>
      <c r="I118" s="14">
        <v>0.15745863507072444</v>
      </c>
      <c r="J118" s="14">
        <v>0.47091304627712366</v>
      </c>
      <c r="K118" s="14">
        <v>4.6115982798892376E-2</v>
      </c>
      <c r="L118" s="14">
        <v>-0.47706149307251355</v>
      </c>
      <c r="M118" s="14">
        <v>-0.15483844955953488</v>
      </c>
      <c r="N118" s="14">
        <v>0.6105236775952565</v>
      </c>
      <c r="O118" s="14">
        <v>0.25292274605801279</v>
      </c>
      <c r="P118" s="14">
        <v>0.47594106627760158</v>
      </c>
      <c r="Q118" s="14">
        <v>-0.19053885388315786</v>
      </c>
      <c r="R118" s="14">
        <v>-4.7765770156801016E-2</v>
      </c>
      <c r="S118" s="14">
        <v>7.5358422524856805E-2</v>
      </c>
      <c r="T118" s="14">
        <v>0.45332083000363416</v>
      </c>
      <c r="U118" s="14">
        <v>0.37367960151662388</v>
      </c>
      <c r="V118" s="14">
        <v>0.56423095966957126</v>
      </c>
      <c r="W118" s="14">
        <v>0.17484713609980784</v>
      </c>
      <c r="X118" s="14">
        <v>0.51349474529970085</v>
      </c>
      <c r="Y118" s="14">
        <v>-0.24406864353387347</v>
      </c>
      <c r="Z118" s="14">
        <v>0.29517189205933275</v>
      </c>
      <c r="AA118" s="14">
        <v>1</v>
      </c>
    </row>
  </sheetData>
  <conditionalFormatting sqref="B1:B37">
    <cfRule type="top10" dxfId="0" priority="1" bottom="1" rank="10"/>
  </conditionalFormatting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Dashboard</vt:lpstr>
      <vt:lpstr>Annual income</vt:lpstr>
      <vt:lpstr>Mounth income</vt:lpstr>
      <vt:lpstr>Product cost_liter</vt:lpstr>
      <vt:lpstr>Milk_feed</vt:lpstr>
      <vt:lpstr>Profit_income</vt:lpstr>
      <vt:lpstr>Profit_liter</vt:lpstr>
      <vt:lpstr>Лист4</vt:lpstr>
      <vt:lpstr>avg_profit_liter</vt:lpstr>
      <vt:lpstr>Price</vt:lpstr>
      <vt:lpstr>RawData</vt:lpstr>
      <vt:lpstr>Лист2</vt:lpstr>
      <vt:lpstr>Correlation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</dc:creator>
  <cp:lastModifiedBy>stani</cp:lastModifiedBy>
  <cp:lastPrinted>2022-11-11T08:38:15Z</cp:lastPrinted>
  <dcterms:created xsi:type="dcterms:W3CDTF">2022-10-31T12:47:31Z</dcterms:created>
  <dcterms:modified xsi:type="dcterms:W3CDTF">2023-08-27T06:04:10Z</dcterms:modified>
</cp:coreProperties>
</file>